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2012" sheetId="3" state="hidden" r:id="rId3"/>
    <sheet name="план 2013" sheetId="4" state="hidden" r:id="rId4"/>
    <sheet name="отчет 2012(08-12)" sheetId="5" r:id="rId5"/>
    <sheet name="накопит. отчет" sheetId="6" state="hidden" r:id="rId6"/>
  </sheets>
  <definedNames/>
  <calcPr fullCalcOnLoad="1"/>
</workbook>
</file>

<file path=xl/sharedStrings.xml><?xml version="1.0" encoding="utf-8"?>
<sst xmlns="http://schemas.openxmlformats.org/spreadsheetml/2006/main" count="435" uniqueCount="161">
  <si>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</si>
  <si>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</si>
  <si>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</si>
  <si>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</si>
  <si>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</si>
  <si>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</si>
  <si>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</si>
  <si>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</si>
  <si>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</si>
  <si>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</si>
  <si>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</si>
  <si>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</si>
  <si>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</si>
  <si>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</si>
  <si>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</si>
  <si>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</si>
  <si>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</si>
  <si>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</si>
  <si>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</si>
  <si>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</si>
  <si>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</si>
  <si>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</si>
  <si>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</si>
  <si>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</si>
  <si>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</si>
  <si>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</si>
  <si>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</si>
  <si>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</si>
  <si>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</si>
  <si>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</si>
  <si>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</si>
  <si>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</si>
  <si>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</si>
  <si>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</si>
  <si>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</si>
  <si>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</si>
  <si>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</si>
  <si>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</si>
  <si>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</si>
  <si>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</si>
  <si>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</si>
  <si>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</si>
  <si>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46 Б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</si>
  <si>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</si>
  <si>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</si>
  <si>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</si>
  <si>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</si>
  <si>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</si>
  <si>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</si>
  <si>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</si>
  <si>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</si>
  <si>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</si>
  <si>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2.</t>
  </si>
  <si>
    <t>кв.м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</si>
  <si>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</si>
  <si>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</si>
  <si>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</si>
  <si>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</si>
  <si>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</si>
  <si>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</si>
  <si>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</si>
  <si>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</si>
  <si>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</si>
  <si>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</si>
  <si>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</si>
  <si>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</si>
  <si>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</si>
  <si>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</si>
  <si>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</si>
  <si>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</si>
  <si>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</si>
  <si>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</si>
  <si>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</si>
  <si>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</si>
  <si>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</si>
  <si>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</si>
  <si>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</si>
  <si>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</si>
  <si>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</si>
  <si>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</si>
  <si>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</si>
  <si>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</si>
  <si>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</si>
  <si>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</si>
  <si>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</si>
  <si>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</si>
  <si>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</si>
  <si>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</si>
  <si>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</si>
  <si>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</si>
  <si>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</si>
  <si>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</si>
  <si>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</si>
  <si>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</si>
  <si>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</si>
  <si>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</si>
  <si>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</si>
  <si>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</si>
  <si>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</si>
  <si>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</si>
  <si>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</si>
  <si>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</si>
  <si>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</si>
  <si>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Итого:</t>
  </si>
  <si>
    <t xml:space="preserve"> </t>
  </si>
  <si>
    <t>ОТЧЕТ
за  2011 г. о выполнении условий  договора управления МКД № 282/3  от 28.03.2008 г., 
заключенного между ООО "ОЖКС № 3" и собственниками многоквартирного дома
по адресу: ул. Горького, 46б</t>
  </si>
  <si>
    <t xml:space="preserve">       Представитель собственников- старший по дому __________________,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в  2011г.    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</si>
  <si>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</si>
  <si>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t>Принято: Старший по дому                                                ________________</t>
  </si>
  <si>
    <t>Смета доходов и расходов  на  2012 г.
согласно договора управления МКД № 282/3 от 28.03.2008г., заключенного 
между ООО "ОЖКС № 3" и собственниками многоквартирного дома</t>
  </si>
  <si>
    <t>результат
 за год
(+эконом., 
-перерасх.)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</si>
  <si>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</si>
  <si>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</si>
  <si>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</si>
  <si>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 xml:space="preserve">Директор ООО "ОЖКС № 3"                                               Т.И. Плотникова                       </t>
  </si>
  <si>
    <t>Приложение №7 к Договору                                                                               на оказание услуг и выполнение работ                                                           по содержанию, текущему и капитальному ремонту                                                                 общего имущества МКД № ____ от __________20__г.</t>
  </si>
  <si>
    <t>Расчет стоимости договора и тарифа 1 м2 на 2012 г.</t>
  </si>
  <si>
    <t>1.1.</t>
  </si>
  <si>
    <t>1.2.</t>
  </si>
  <si>
    <t>1.3.</t>
  </si>
  <si>
    <t>по плану работ</t>
  </si>
  <si>
    <t xml:space="preserve">Директор ООО "ОЖКС № 3"                                                                       </t>
  </si>
  <si>
    <t xml:space="preserve">           Представитель Собственников</t>
  </si>
  <si>
    <t>________________ Т.И. Плотникова</t>
  </si>
  <si>
    <t xml:space="preserve">            ________________________</t>
  </si>
  <si>
    <t>Тариф 
на 
1 кв.м. август-декабрь 2012г.
руб.</t>
  </si>
  <si>
    <t>Стоимость работ
август-декабрь 2012г.             руб.</t>
  </si>
  <si>
    <t>5=гр.4*Sдома*5мес.</t>
  </si>
  <si>
    <t>подметание асфальта -   1 раз/неделю,                
подбор мусора - ежедневно</t>
  </si>
  <si>
    <t>Тариф с 1 августа 2012 г. - 11,21 руб., капитальный ремонт - 0,80 руб.</t>
  </si>
  <si>
    <t>* в случае уточнения площадей возможно изменение стоимости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</si>
  <si>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</si>
  <si>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</si>
  <si>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</si>
  <si>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</si>
  <si>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3" _____________________________    Т.И. Плотникова                       </t>
  </si>
  <si>
    <t>Дворовое освещение</t>
  </si>
  <si>
    <t>Сбор, вывоз  бытового мусора</t>
  </si>
  <si>
    <t>Управление</t>
  </si>
  <si>
    <t>6=(гр.4*Sдома*6мес)+(гр.5*Sдома*6мес)</t>
  </si>
  <si>
    <t>S жилых и нежилых помещений.,кв.м</t>
  </si>
  <si>
    <t>Смета доходов и расходов  на  2012 г.
согласно договора на оказание услуг МКД № 23/3 от 23.07.2012г., заключенного 
между ООО "ОЖКС № 3" и собственниками многоквартирного дома по адресу:ул. Горького, 46Б</t>
  </si>
  <si>
    <t xml:space="preserve">        Совет МКД в лице_______________, действующего на основании Устава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01.08.12г. по 31.12. 2012г.      </t>
  </si>
  <si>
    <t>S жилых и нежилых помещений, кв.м</t>
  </si>
  <si>
    <t>Тариф 01.08.12г-31.12.12г</t>
  </si>
  <si>
    <t>Сумма 01.08.12-31.12.12г, руб.</t>
  </si>
  <si>
    <t xml:space="preserve"> - прочие доходы 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</si>
  <si>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</si>
  <si>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с 01.08.12г по 31.12.2012г. (+ экономия,- перерасход)                                                      </t>
  </si>
  <si>
    <t>Принято: совет МКД                                          ___________________</t>
  </si>
  <si>
    <t>Исполнитель О.В. Калинина</t>
  </si>
  <si>
    <t>Адрес: ул. Горького, 46Б</t>
  </si>
  <si>
    <t>ОТЧЕТ
с 01.08.12г. по 31.12 2012г.. согласно договора на оказание услуг МКД №   23/3 от 23.07.2012г., 
заключенного между ООО "ОЖКС № 3" и  собственники многоквартирного дома
по адресу:  ул. Горького, 46Б</t>
  </si>
  <si>
    <t>ОТЧЕТ
по  договору на оказание услуг МКД № 23/3 от 23.07.2012 г., заключенного между ООО "ОЖКС № 3" 
и собственниками многоквартирного дома по адресу:  ул. Горького,46 б</t>
  </si>
  <si>
    <t>Сальдо
 на 01.08
+экономия
-перерасход</t>
  </si>
  <si>
    <t>за 5 мес. 2012г.</t>
  </si>
  <si>
    <t xml:space="preserve">Директор ООО "ОЖКС № 3"                                 </t>
  </si>
  <si>
    <t xml:space="preserve">____________ Т.И. Плотникова                              </t>
  </si>
  <si>
    <t>Совет МКД</t>
  </si>
  <si>
    <t>_______________/___________/</t>
  </si>
  <si>
    <t>Капитальный ремонт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</si>
</sst>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2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171" fontId="6" fillId="0" borderId="19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A34" sqref="A34:IV42"/>
    </sheetView>
  </sheetViews>
  <sheetFormatPr defaultColWidth="9.00390625" defaultRowHeight="15.75"/>
  <cols>
    <col min="1" max="1" width="7.375" style="0" customWidth="1"/>
    <col min="2" max="2" width="26.25390625" style="0" customWidth="1"/>
    <col min="3" max="3" width="4.50390625" style="0" customWidth="1"/>
    <col min="4" max="4" width="18.875" style="0" customWidth="1"/>
    <col min="5" max="5" width="15.75390625" style="0" customWidth="1"/>
    <col min="6" max="6" width="16.00390625" style="0" hidden="1" customWidth="1"/>
    <col min="7" max="7" width="6.75390625" style="0" hidden="1" customWidth="1"/>
    <col min="8" max="8" width="11.125" style="0" customWidth="1"/>
    <col min="9" max="9" width="11.625" style="0" customWidth="1"/>
    <col min="10" max="10" width="11.125" style="0" customWidth="1"/>
  </cols>
  <sheetData>
    <row r="1" spans="1:10" ht="78" customHeight="1">
      <c r="A1" s="163" t="s">
        <v>105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51" customHeight="1">
      <c r="A2" s="164" t="s">
        <v>106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9" ht="18.75">
      <c r="A3" s="1"/>
      <c r="B3" s="1" t="s">
        <v>42</v>
      </c>
      <c r="C3" s="2"/>
      <c r="D3" s="2" t="s">
        <v>0</v>
      </c>
      <c r="E3" s="15">
        <v>2594.9</v>
      </c>
      <c r="G3" s="44"/>
      <c r="H3" s="44"/>
      <c r="I3" s="44">
        <v>0</v>
      </c>
    </row>
    <row r="4" spans="2:9" ht="15.75">
      <c r="B4" s="3" t="s">
        <v>1</v>
      </c>
      <c r="C4" s="19">
        <v>5</v>
      </c>
      <c r="D4" s="2" t="s">
        <v>2</v>
      </c>
      <c r="E4" s="16">
        <v>60</v>
      </c>
      <c r="I4" t="s">
        <v>53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54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55</v>
      </c>
    </row>
    <row r="7" spans="1:10" ht="36.75" customHeight="1">
      <c r="A7" s="11" t="s">
        <v>37</v>
      </c>
      <c r="B7" s="155" t="s">
        <v>56</v>
      </c>
      <c r="C7" s="156"/>
      <c r="D7" s="157"/>
      <c r="E7" s="6" t="s">
        <v>6</v>
      </c>
      <c r="F7" s="6" t="s">
        <v>7</v>
      </c>
      <c r="G7" s="46" t="s">
        <v>21</v>
      </c>
      <c r="H7" s="158" t="s">
        <v>57</v>
      </c>
      <c r="I7" s="184"/>
      <c r="J7" s="185"/>
    </row>
    <row r="8" spans="1:10" ht="15.75">
      <c r="A8" s="12">
        <v>1</v>
      </c>
      <c r="B8" s="186"/>
      <c r="C8" s="187"/>
      <c r="D8" s="187"/>
      <c r="E8" s="187"/>
      <c r="F8" s="188"/>
      <c r="G8" s="47"/>
      <c r="H8" s="50" t="s">
        <v>58</v>
      </c>
      <c r="I8" s="49" t="s">
        <v>59</v>
      </c>
      <c r="J8" s="49" t="s">
        <v>60</v>
      </c>
    </row>
    <row r="9" spans="1:10" ht="15.75">
      <c r="A9" s="12"/>
      <c r="B9" s="186" t="s">
        <v>61</v>
      </c>
      <c r="C9" s="187"/>
      <c r="D9" s="187"/>
      <c r="E9" s="187"/>
      <c r="F9" s="188"/>
      <c r="G9" s="50"/>
      <c r="H9" s="50"/>
      <c r="I9" s="38"/>
      <c r="J9" s="49"/>
    </row>
    <row r="10" spans="1:10" ht="15.75">
      <c r="A10" s="51"/>
      <c r="B10" s="159" t="s">
        <v>62</v>
      </c>
      <c r="C10" s="159"/>
      <c r="D10" s="159"/>
      <c r="E10" s="159"/>
      <c r="F10" s="159"/>
      <c r="G10" s="8"/>
      <c r="H10" s="17">
        <v>312198.03</v>
      </c>
      <c r="I10" s="28"/>
      <c r="J10" s="39">
        <f>H10+I10</f>
        <v>312198.03</v>
      </c>
    </row>
    <row r="11" spans="1:10" ht="15.75">
      <c r="A11" s="51"/>
      <c r="B11" s="159" t="s">
        <v>63</v>
      </c>
      <c r="C11" s="159"/>
      <c r="D11" s="159"/>
      <c r="E11" s="159"/>
      <c r="F11" s="159"/>
      <c r="G11" s="8"/>
      <c r="H11" s="75">
        <v>19313.65</v>
      </c>
      <c r="I11" s="28"/>
      <c r="J11" s="39">
        <f>H11+I11</f>
        <v>19313.65</v>
      </c>
    </row>
    <row r="12" spans="1:10" ht="15.75">
      <c r="A12" s="12"/>
      <c r="B12" s="159" t="s">
        <v>64</v>
      </c>
      <c r="C12" s="159"/>
      <c r="D12" s="159"/>
      <c r="E12" s="159"/>
      <c r="F12" s="159"/>
      <c r="G12" s="8"/>
      <c r="H12" s="17"/>
      <c r="I12" s="28">
        <v>0</v>
      </c>
      <c r="J12" s="39">
        <f>H12+I12</f>
        <v>0</v>
      </c>
    </row>
    <row r="13" spans="1:10" ht="15.75">
      <c r="A13" s="12"/>
      <c r="B13" s="159" t="s">
        <v>65</v>
      </c>
      <c r="C13" s="159"/>
      <c r="D13" s="159"/>
      <c r="E13" s="159"/>
      <c r="F13" s="159"/>
      <c r="G13" s="8"/>
      <c r="H13" s="17"/>
      <c r="I13" s="53">
        <v>0</v>
      </c>
      <c r="J13" s="39">
        <f>H13+I13</f>
        <v>0</v>
      </c>
    </row>
    <row r="14" spans="1:10" ht="15.75">
      <c r="A14" s="12"/>
      <c r="B14" s="161" t="s">
        <v>66</v>
      </c>
      <c r="C14" s="161"/>
      <c r="D14" s="161"/>
      <c r="E14" s="161"/>
      <c r="F14" s="161"/>
      <c r="G14" s="8"/>
      <c r="H14" s="73">
        <f>SUM(H10:H12)</f>
        <v>331511.68000000005</v>
      </c>
      <c r="I14" s="54">
        <f>SUM(I12:I13)</f>
        <v>0</v>
      </c>
      <c r="J14" s="73">
        <f>SUM(J10:J13)</f>
        <v>331511.68000000005</v>
      </c>
    </row>
    <row r="15" spans="1:10" ht="18.75">
      <c r="A15" s="12">
        <v>2</v>
      </c>
      <c r="B15" s="162" t="s">
        <v>38</v>
      </c>
      <c r="C15" s="162"/>
      <c r="D15" s="162"/>
      <c r="E15" s="162"/>
      <c r="F15" s="162"/>
      <c r="G15" s="8"/>
      <c r="H15" s="52"/>
      <c r="I15" s="28"/>
      <c r="J15" s="40"/>
    </row>
    <row r="16" spans="1:10" ht="15.75">
      <c r="A16" s="12"/>
      <c r="B16" s="9" t="s">
        <v>39</v>
      </c>
      <c r="C16" s="9"/>
      <c r="D16" s="9"/>
      <c r="E16" s="9"/>
      <c r="F16" s="5"/>
      <c r="G16" s="48"/>
      <c r="H16" s="48"/>
      <c r="I16" s="45"/>
      <c r="J16" s="49"/>
    </row>
    <row r="17" spans="1:10" ht="30" customHeight="1">
      <c r="A17" s="55"/>
      <c r="B17" s="160" t="s">
        <v>107</v>
      </c>
      <c r="C17" s="160"/>
      <c r="D17" s="160"/>
      <c r="E17" s="56" t="s">
        <v>31</v>
      </c>
      <c r="F17" s="32" t="s">
        <v>23</v>
      </c>
      <c r="G17" s="33">
        <v>1.06</v>
      </c>
      <c r="H17" s="57">
        <f>ROUND(G17*$E$3*12,2)</f>
        <v>33007.13</v>
      </c>
      <c r="I17" s="58">
        <f>$I$12*0.08</f>
        <v>0</v>
      </c>
      <c r="J17" s="54">
        <f>SUM(H17:I17)</f>
        <v>33007.13</v>
      </c>
    </row>
    <row r="18" spans="1:10" ht="15.75" customHeight="1">
      <c r="A18" s="12"/>
      <c r="B18" s="183" t="s">
        <v>17</v>
      </c>
      <c r="C18" s="183"/>
      <c r="D18" s="183"/>
      <c r="E18" s="56" t="s">
        <v>31</v>
      </c>
      <c r="F18" s="32" t="s">
        <v>18</v>
      </c>
      <c r="G18" s="33">
        <v>0.28</v>
      </c>
      <c r="H18" s="57">
        <f>ROUND(G18*$E$3*12,2)</f>
        <v>8718.86</v>
      </c>
      <c r="I18" s="58">
        <f>$I$12*0.02</f>
        <v>0</v>
      </c>
      <c r="J18" s="54">
        <f>SUM(H18:I18)</f>
        <v>8718.86</v>
      </c>
    </row>
    <row r="19" spans="1:10" ht="15.75" customHeight="1">
      <c r="A19" s="12"/>
      <c r="B19" s="182" t="s">
        <v>22</v>
      </c>
      <c r="C19" s="182"/>
      <c r="D19" s="182"/>
      <c r="E19" s="59" t="s">
        <v>67</v>
      </c>
      <c r="F19" s="34" t="s">
        <v>19</v>
      </c>
      <c r="G19" s="33">
        <v>0.39</v>
      </c>
      <c r="H19" s="57">
        <f>J19-I19</f>
        <v>4200.16</v>
      </c>
      <c r="I19" s="58">
        <f>$I$12*0.07</f>
        <v>0</v>
      </c>
      <c r="J19" s="76">
        <v>4200.16</v>
      </c>
    </row>
    <row r="20" spans="1:10" ht="15.75" customHeight="1">
      <c r="A20" s="55"/>
      <c r="B20" s="160" t="s">
        <v>30</v>
      </c>
      <c r="C20" s="160"/>
      <c r="D20" s="160"/>
      <c r="E20" s="60" t="s">
        <v>9</v>
      </c>
      <c r="F20" s="35" t="s">
        <v>10</v>
      </c>
      <c r="G20" s="33">
        <v>0.51</v>
      </c>
      <c r="H20" s="57">
        <f>ROUND(G20*$E$3*12,2)</f>
        <v>15880.79</v>
      </c>
      <c r="I20" s="58">
        <f>$I$12*0.04</f>
        <v>0</v>
      </c>
      <c r="J20" s="54">
        <f>SUM(H20:I20)</f>
        <v>15880.79</v>
      </c>
    </row>
    <row r="21" spans="1:10" ht="66" customHeight="1">
      <c r="A21" s="12"/>
      <c r="B21" s="182" t="s">
        <v>26</v>
      </c>
      <c r="C21" s="182"/>
      <c r="D21" s="182"/>
      <c r="E21" s="59" t="s">
        <v>68</v>
      </c>
      <c r="F21" s="34" t="s">
        <v>24</v>
      </c>
      <c r="G21" s="33">
        <v>0.12</v>
      </c>
      <c r="H21" s="57">
        <f>J21-I21</f>
        <v>4678.2</v>
      </c>
      <c r="I21" s="58">
        <f>$I$12*0.01</f>
        <v>0</v>
      </c>
      <c r="J21" s="76">
        <v>4678.2</v>
      </c>
    </row>
    <row r="22" spans="1:10" ht="15.75" customHeight="1">
      <c r="A22" s="55"/>
      <c r="B22" s="182" t="s">
        <v>11</v>
      </c>
      <c r="C22" s="182"/>
      <c r="D22" s="182"/>
      <c r="E22" s="59" t="s">
        <v>9</v>
      </c>
      <c r="F22" s="34" t="s">
        <v>12</v>
      </c>
      <c r="G22" s="33">
        <v>0</v>
      </c>
      <c r="H22" s="57">
        <f>J22-I22</f>
        <v>0</v>
      </c>
      <c r="I22" s="58">
        <f>$I$12*0.15</f>
        <v>0</v>
      </c>
      <c r="J22" s="76">
        <f>G22*E3*12</f>
        <v>0</v>
      </c>
    </row>
    <row r="23" spans="1:10" ht="15.75" customHeight="1">
      <c r="A23" s="55"/>
      <c r="B23" s="182" t="s">
        <v>25</v>
      </c>
      <c r="C23" s="171"/>
      <c r="D23" s="171"/>
      <c r="E23" s="61" t="s">
        <v>13</v>
      </c>
      <c r="F23" s="30" t="s">
        <v>14</v>
      </c>
      <c r="G23" s="33">
        <v>0.05</v>
      </c>
      <c r="H23" s="57">
        <f>J23-I23</f>
        <v>1529.4</v>
      </c>
      <c r="I23" s="58">
        <v>0</v>
      </c>
      <c r="J23" s="76">
        <v>1529.4</v>
      </c>
    </row>
    <row r="24" spans="1:10" ht="26.25" customHeight="1">
      <c r="A24" s="12"/>
      <c r="B24" s="182" t="s">
        <v>69</v>
      </c>
      <c r="C24" s="182"/>
      <c r="D24" s="182"/>
      <c r="E24" s="56" t="s">
        <v>34</v>
      </c>
      <c r="F24" s="62" t="s">
        <v>41</v>
      </c>
      <c r="G24" s="33">
        <v>2.15</v>
      </c>
      <c r="H24" s="57">
        <f aca="true" t="shared" si="0" ref="H24:H29">ROUND(G24*$E$3*12,2)</f>
        <v>66948.42</v>
      </c>
      <c r="I24" s="58">
        <f>$I$12*0.19</f>
        <v>0</v>
      </c>
      <c r="J24" s="54">
        <f aca="true" t="shared" si="1" ref="J24:J29">SUM(H24:I24)</f>
        <v>66948.42</v>
      </c>
    </row>
    <row r="25" spans="1:10" ht="26.25" customHeight="1">
      <c r="A25" s="12"/>
      <c r="B25" s="183" t="s">
        <v>15</v>
      </c>
      <c r="C25" s="183"/>
      <c r="D25" s="183"/>
      <c r="E25" s="56" t="s">
        <v>34</v>
      </c>
      <c r="F25" s="62" t="s">
        <v>41</v>
      </c>
      <c r="G25" s="33">
        <v>0.44</v>
      </c>
      <c r="H25" s="63">
        <f t="shared" si="0"/>
        <v>13701.07</v>
      </c>
      <c r="I25" s="58">
        <v>0</v>
      </c>
      <c r="J25" s="54">
        <f t="shared" si="1"/>
        <v>13701.07</v>
      </c>
    </row>
    <row r="26" spans="1:10" ht="26.25" customHeight="1">
      <c r="A26" s="12"/>
      <c r="B26" s="167" t="s">
        <v>35</v>
      </c>
      <c r="C26" s="173"/>
      <c r="D26" s="174"/>
      <c r="E26" s="56" t="s">
        <v>34</v>
      </c>
      <c r="F26" s="62" t="s">
        <v>41</v>
      </c>
      <c r="G26" s="64">
        <f>3.46-G27-G28</f>
        <v>3.46</v>
      </c>
      <c r="H26" s="63">
        <f t="shared" si="0"/>
        <v>107740.25</v>
      </c>
      <c r="I26" s="65">
        <f>$I$12*0.18</f>
        <v>0</v>
      </c>
      <c r="J26" s="54">
        <f t="shared" si="1"/>
        <v>107740.25</v>
      </c>
    </row>
    <row r="27" spans="1:10" ht="26.25" customHeight="1">
      <c r="A27" s="55"/>
      <c r="B27" s="182" t="s">
        <v>70</v>
      </c>
      <c r="C27" s="182"/>
      <c r="D27" s="182"/>
      <c r="E27" s="56" t="s">
        <v>34</v>
      </c>
      <c r="F27" s="62" t="s">
        <v>41</v>
      </c>
      <c r="G27" s="64">
        <v>0</v>
      </c>
      <c r="H27" s="63">
        <f t="shared" si="0"/>
        <v>0</v>
      </c>
      <c r="I27" s="65">
        <f>$I$12*0.02</f>
        <v>0</v>
      </c>
      <c r="J27" s="54">
        <f t="shared" si="1"/>
        <v>0</v>
      </c>
    </row>
    <row r="28" spans="1:10" ht="15.75" customHeight="1">
      <c r="A28" s="12"/>
      <c r="B28" s="182" t="s">
        <v>71</v>
      </c>
      <c r="C28" s="182"/>
      <c r="D28" s="182"/>
      <c r="E28" s="59" t="s">
        <v>9</v>
      </c>
      <c r="F28" s="62" t="s">
        <v>41</v>
      </c>
      <c r="G28" s="64">
        <v>0</v>
      </c>
      <c r="H28" s="63">
        <f t="shared" si="0"/>
        <v>0</v>
      </c>
      <c r="I28" s="65">
        <f>$I$12*0.02</f>
        <v>0</v>
      </c>
      <c r="J28" s="54">
        <f t="shared" si="1"/>
        <v>0</v>
      </c>
    </row>
    <row r="29" spans="1:10" ht="15.75" customHeight="1">
      <c r="A29" s="12"/>
      <c r="B29" s="171" t="s">
        <v>20</v>
      </c>
      <c r="C29" s="171"/>
      <c r="D29" s="171"/>
      <c r="E29" s="59" t="s">
        <v>9</v>
      </c>
      <c r="F29" s="62" t="s">
        <v>41</v>
      </c>
      <c r="G29" s="30">
        <v>1.06</v>
      </c>
      <c r="H29" s="57">
        <f t="shared" si="0"/>
        <v>33007.13</v>
      </c>
      <c r="I29" s="58">
        <f>$I$12*0.1</f>
        <v>0</v>
      </c>
      <c r="J29" s="54">
        <f t="shared" si="1"/>
        <v>33007.13</v>
      </c>
    </row>
    <row r="30" spans="1:10" ht="15.75" customHeight="1">
      <c r="A30" s="12"/>
      <c r="B30" s="172" t="s">
        <v>72</v>
      </c>
      <c r="C30" s="173"/>
      <c r="D30" s="174"/>
      <c r="E30" s="59" t="s">
        <v>9</v>
      </c>
      <c r="F30" s="62"/>
      <c r="G30" s="30"/>
      <c r="H30" s="63"/>
      <c r="I30" s="53"/>
      <c r="J30" s="66"/>
    </row>
    <row r="31" spans="1:10" ht="26.25" customHeight="1">
      <c r="A31" s="12"/>
      <c r="B31" s="172" t="s">
        <v>73</v>
      </c>
      <c r="C31" s="173"/>
      <c r="D31" s="174"/>
      <c r="E31" s="56" t="s">
        <v>34</v>
      </c>
      <c r="F31" s="62"/>
      <c r="G31" s="30"/>
      <c r="H31" s="63"/>
      <c r="I31" s="53"/>
      <c r="J31" s="66"/>
    </row>
    <row r="32" spans="1:10" ht="15.75" customHeight="1">
      <c r="A32" s="12"/>
      <c r="B32" s="175"/>
      <c r="C32" s="176"/>
      <c r="D32" s="177"/>
      <c r="E32" s="59"/>
      <c r="F32" s="62"/>
      <c r="G32" s="30"/>
      <c r="H32" s="63"/>
      <c r="I32" s="53"/>
      <c r="J32" s="66"/>
    </row>
    <row r="33" spans="1:10" ht="15.75" customHeight="1">
      <c r="A33" s="12"/>
      <c r="B33" s="175"/>
      <c r="C33" s="176"/>
      <c r="D33" s="177"/>
      <c r="E33" s="59"/>
      <c r="F33" s="62"/>
      <c r="G33" s="30"/>
      <c r="H33" s="63"/>
      <c r="I33" s="53"/>
      <c r="J33" s="66"/>
    </row>
    <row r="34" spans="1:10" ht="15.75" customHeight="1">
      <c r="A34" s="12"/>
      <c r="B34" s="178" t="s">
        <v>29</v>
      </c>
      <c r="C34" s="178"/>
      <c r="D34" s="178"/>
      <c r="E34" s="7"/>
      <c r="F34" s="62"/>
      <c r="G34" s="10">
        <f>SUM(G17:G29)</f>
        <v>9.520000000000001</v>
      </c>
      <c r="H34" s="20">
        <f>SUM(H17:H33)</f>
        <v>289411.41</v>
      </c>
      <c r="I34" s="67">
        <f>SUM(I17:I33)</f>
        <v>0</v>
      </c>
      <c r="J34" s="20">
        <f>SUM(J17:J33)</f>
        <v>289411.41</v>
      </c>
    </row>
    <row r="35" spans="1:10" ht="15.75" customHeight="1">
      <c r="A35" s="12"/>
      <c r="B35" s="78"/>
      <c r="C35" s="79"/>
      <c r="D35" s="79"/>
      <c r="E35" s="80"/>
      <c r="F35" s="62"/>
      <c r="G35" s="10"/>
      <c r="H35" s="20"/>
      <c r="I35" s="67"/>
      <c r="J35" s="20"/>
    </row>
    <row r="36" spans="1:10" ht="15.75" customHeight="1">
      <c r="A36" s="12"/>
      <c r="B36" s="78"/>
      <c r="C36" s="79"/>
      <c r="D36" s="79"/>
      <c r="E36" s="80"/>
      <c r="F36" s="62"/>
      <c r="G36" s="10"/>
      <c r="H36" s="20"/>
      <c r="I36" s="67"/>
      <c r="J36" s="20"/>
    </row>
    <row r="37" spans="1:10" ht="15.75" customHeight="1">
      <c r="A37" s="12"/>
      <c r="B37" s="78"/>
      <c r="C37" s="79"/>
      <c r="D37" s="79"/>
      <c r="E37" s="80"/>
      <c r="F37" s="62"/>
      <c r="G37" s="10"/>
      <c r="H37" s="20"/>
      <c r="I37" s="67"/>
      <c r="J37" s="20"/>
    </row>
    <row r="38" spans="1:10" ht="15.75" customHeight="1">
      <c r="A38" s="12">
        <v>3</v>
      </c>
      <c r="B38" s="179" t="s">
        <v>74</v>
      </c>
      <c r="C38" s="180"/>
      <c r="D38" s="180"/>
      <c r="E38" s="181"/>
      <c r="F38" s="62" t="s">
        <v>41</v>
      </c>
      <c r="G38" s="13">
        <f>H38/E3/12</f>
        <v>2.0452971855049005</v>
      </c>
      <c r="H38" s="68">
        <v>63688.1</v>
      </c>
      <c r="I38" s="69">
        <v>0</v>
      </c>
      <c r="J38" s="54">
        <f>SUM(H38:I38)</f>
        <v>63688.1</v>
      </c>
    </row>
    <row r="39" spans="1:10" ht="15.75" customHeight="1">
      <c r="A39" s="14"/>
      <c r="B39" s="166" t="s">
        <v>40</v>
      </c>
      <c r="C39" s="166"/>
      <c r="D39" s="166"/>
      <c r="E39" s="166"/>
      <c r="F39" s="166"/>
      <c r="G39" s="10">
        <f>SUM(G34:G38)</f>
        <v>11.565297185504901</v>
      </c>
      <c r="H39" s="22">
        <f>SUM(H34:H38)</f>
        <v>353099.50999999995</v>
      </c>
      <c r="I39" s="22">
        <f>SUM(I34:I38)</f>
        <v>0</v>
      </c>
      <c r="J39" s="70">
        <f>SUM(J34:J38)</f>
        <v>353099.50999999995</v>
      </c>
    </row>
    <row r="40" spans="1:10" ht="15.75" customHeight="1">
      <c r="A40" s="12">
        <v>4</v>
      </c>
      <c r="B40" s="165" t="s">
        <v>75</v>
      </c>
      <c r="C40" s="165"/>
      <c r="D40" s="165"/>
      <c r="E40" s="165"/>
      <c r="F40" s="165"/>
      <c r="G40" s="71"/>
      <c r="H40" s="72">
        <v>0</v>
      </c>
      <c r="I40" s="72">
        <v>0</v>
      </c>
      <c r="J40" s="77">
        <f>SUM(H40:I40)</f>
        <v>0</v>
      </c>
    </row>
    <row r="41" spans="1:10" ht="15.75" customHeight="1">
      <c r="A41" s="14"/>
      <c r="B41" s="166" t="s">
        <v>76</v>
      </c>
      <c r="C41" s="166"/>
      <c r="D41" s="166"/>
      <c r="E41" s="166"/>
      <c r="F41" s="166"/>
      <c r="G41" s="10">
        <f>SUM(G39:G40)</f>
        <v>11.565297185504901</v>
      </c>
      <c r="H41" s="22">
        <f>SUM(H39:H40)</f>
        <v>353099.50999999995</v>
      </c>
      <c r="I41" s="22">
        <f>SUM(I39:I40)</f>
        <v>0</v>
      </c>
      <c r="J41" s="22">
        <f>SUM(J39:J40)</f>
        <v>353099.50999999995</v>
      </c>
    </row>
    <row r="42" spans="1:10" ht="15.75" customHeight="1">
      <c r="A42" s="12">
        <v>5</v>
      </c>
      <c r="B42" s="167" t="s">
        <v>77</v>
      </c>
      <c r="C42" s="168"/>
      <c r="D42" s="168"/>
      <c r="E42" s="168"/>
      <c r="F42" s="168"/>
      <c r="G42" s="169"/>
      <c r="H42" s="21">
        <f>H14-H41</f>
        <v>-21587.8299999999</v>
      </c>
      <c r="I42" s="57">
        <f>I14-I41</f>
        <v>0</v>
      </c>
      <c r="J42" s="73">
        <f>J14-J41</f>
        <v>-21587.8299999999</v>
      </c>
    </row>
    <row r="44" spans="2:5" ht="15.75">
      <c r="B44" s="43" t="s">
        <v>78</v>
      </c>
      <c r="C44" s="43"/>
      <c r="D44" s="43"/>
      <c r="E44" s="18"/>
    </row>
    <row r="45" spans="2:4" ht="15.75">
      <c r="B45" s="43"/>
      <c r="C45" s="43"/>
      <c r="D45" s="43"/>
    </row>
    <row r="46" spans="2:4" ht="15.75">
      <c r="B46" s="74" t="s">
        <v>108</v>
      </c>
      <c r="C46" s="74"/>
      <c r="D46" s="42"/>
    </row>
    <row r="47" spans="2:4" ht="15.75">
      <c r="B47" s="170" t="s">
        <v>79</v>
      </c>
      <c r="C47" s="170"/>
      <c r="D47" s="170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8:E38"/>
    <mergeCell ref="B39:F39"/>
    <mergeCell ref="B29:D29"/>
    <mergeCell ref="B30:D30"/>
    <mergeCell ref="B31:D31"/>
    <mergeCell ref="B32:D32"/>
    <mergeCell ref="B40:F40"/>
    <mergeCell ref="B41:F41"/>
    <mergeCell ref="B42:G42"/>
    <mergeCell ref="B47:D47"/>
  </mergeCells>
  <printOptions/>
  <pageMargins left="0.1968503937007874" right="0" top="0" bottom="0" header="0" footer="0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375" style="0" bestFit="1" customWidth="1"/>
    <col min="8" max="8" width="13.25390625" style="0" customWidth="1"/>
  </cols>
  <sheetData>
    <row r="1" spans="1:8" ht="75.75" customHeight="1">
      <c r="A1" s="163" t="s">
        <v>109</v>
      </c>
      <c r="B1" s="163"/>
      <c r="C1" s="163"/>
      <c r="D1" s="163"/>
      <c r="E1" s="163"/>
      <c r="F1" s="163"/>
      <c r="G1" s="163"/>
      <c r="H1" s="163"/>
    </row>
    <row r="2" spans="2:6" ht="18.75">
      <c r="B2" s="1" t="s">
        <v>42</v>
      </c>
      <c r="C2" s="2"/>
      <c r="D2" s="2" t="s">
        <v>0</v>
      </c>
      <c r="E2" s="15">
        <v>2594.9</v>
      </c>
      <c r="F2" s="2"/>
    </row>
    <row r="3" spans="2:6" ht="15.75">
      <c r="B3" s="3" t="s">
        <v>1</v>
      </c>
      <c r="C3" s="19">
        <v>5</v>
      </c>
      <c r="D3" s="2" t="s">
        <v>2</v>
      </c>
      <c r="E3" s="16">
        <v>60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23" t="s">
        <v>37</v>
      </c>
      <c r="B6" s="198"/>
      <c r="C6" s="198"/>
      <c r="D6" s="198"/>
      <c r="E6" s="24" t="s">
        <v>6</v>
      </c>
      <c r="F6" s="24" t="s">
        <v>7</v>
      </c>
      <c r="G6" s="25" t="s">
        <v>43</v>
      </c>
      <c r="H6" s="26" t="s">
        <v>44</v>
      </c>
    </row>
    <row r="7" spans="1:8" ht="15.75" customHeight="1">
      <c r="A7" s="27"/>
      <c r="B7" s="199" t="s">
        <v>45</v>
      </c>
      <c r="C7" s="199"/>
      <c r="D7" s="199"/>
      <c r="E7" s="199"/>
      <c r="F7" s="199"/>
      <c r="G7" s="28"/>
      <c r="H7" s="29"/>
    </row>
    <row r="8" spans="1:8" ht="15.75" customHeight="1">
      <c r="A8" s="27">
        <v>1</v>
      </c>
      <c r="B8" s="190" t="s">
        <v>46</v>
      </c>
      <c r="C8" s="190"/>
      <c r="D8" s="190"/>
      <c r="E8" s="190"/>
      <c r="F8" s="190"/>
      <c r="G8" s="13">
        <f>G30</f>
        <v>10.89</v>
      </c>
      <c r="H8" s="29">
        <f>ROUND(G8*$E$2*12,0)</f>
        <v>339102</v>
      </c>
    </row>
    <row r="9" spans="1:8" ht="15.75" customHeight="1">
      <c r="A9" s="27"/>
      <c r="B9" s="190" t="s">
        <v>47</v>
      </c>
      <c r="C9" s="190"/>
      <c r="D9" s="190"/>
      <c r="E9" s="190"/>
      <c r="F9" s="190"/>
      <c r="G9" s="12">
        <v>0.78</v>
      </c>
      <c r="H9" s="29">
        <f>ROUND($E$2*G9*12,0)</f>
        <v>24288</v>
      </c>
    </row>
    <row r="10" spans="1:8" ht="18.75">
      <c r="A10" s="27">
        <v>2</v>
      </c>
      <c r="B10" s="162" t="s">
        <v>38</v>
      </c>
      <c r="C10" s="162"/>
      <c r="D10" s="162"/>
      <c r="E10" s="162"/>
      <c r="F10" s="162"/>
      <c r="G10" s="30"/>
      <c r="H10" s="29"/>
    </row>
    <row r="11" spans="1:8" ht="15.75">
      <c r="A11" s="27"/>
      <c r="B11" s="9" t="s">
        <v>39</v>
      </c>
      <c r="C11" s="9"/>
      <c r="D11" s="9"/>
      <c r="E11" s="9"/>
      <c r="F11" s="5"/>
      <c r="G11" s="7"/>
      <c r="H11" s="29"/>
    </row>
    <row r="12" spans="1:8" ht="30.75" customHeight="1">
      <c r="A12" s="31"/>
      <c r="B12" s="189" t="s">
        <v>48</v>
      </c>
      <c r="C12" s="189"/>
      <c r="D12" s="189"/>
      <c r="E12" s="32" t="s">
        <v>31</v>
      </c>
      <c r="F12" s="32" t="s">
        <v>23</v>
      </c>
      <c r="G12" s="33">
        <v>1.09</v>
      </c>
      <c r="H12" s="29">
        <f>ROUND(G12*$E$2*12,0)</f>
        <v>33941</v>
      </c>
    </row>
    <row r="13" spans="1:8" ht="15.75" customHeight="1">
      <c r="A13" s="31"/>
      <c r="B13" s="189" t="s">
        <v>17</v>
      </c>
      <c r="C13" s="189"/>
      <c r="D13" s="189"/>
      <c r="E13" s="32" t="s">
        <v>31</v>
      </c>
      <c r="F13" s="32" t="s">
        <v>18</v>
      </c>
      <c r="G13" s="33">
        <v>0.29</v>
      </c>
      <c r="H13" s="29">
        <f aca="true" t="shared" si="0" ref="H13:H30">ROUND(G13*$E$2*12,0)</f>
        <v>9030</v>
      </c>
    </row>
    <row r="14" spans="1:8" ht="15.75" customHeight="1">
      <c r="A14" s="31"/>
      <c r="B14" s="190" t="s">
        <v>22</v>
      </c>
      <c r="C14" s="190"/>
      <c r="D14" s="190"/>
      <c r="E14" s="34" t="s">
        <v>8</v>
      </c>
      <c r="F14" s="34" t="s">
        <v>19</v>
      </c>
      <c r="G14" s="33">
        <v>0.4</v>
      </c>
      <c r="H14" s="29">
        <f t="shared" si="0"/>
        <v>12456</v>
      </c>
    </row>
    <row r="15" spans="1:8" ht="15.75" customHeight="1">
      <c r="A15" s="31"/>
      <c r="B15" s="197" t="s">
        <v>30</v>
      </c>
      <c r="C15" s="197"/>
      <c r="D15" s="197"/>
      <c r="E15" s="35" t="s">
        <v>9</v>
      </c>
      <c r="F15" s="35" t="s">
        <v>10</v>
      </c>
      <c r="G15" s="33">
        <v>0.53</v>
      </c>
      <c r="H15" s="29">
        <f t="shared" si="0"/>
        <v>16504</v>
      </c>
    </row>
    <row r="16" spans="1:8" ht="60.75" customHeight="1">
      <c r="A16" s="31"/>
      <c r="B16" s="190" t="s">
        <v>26</v>
      </c>
      <c r="C16" s="190"/>
      <c r="D16" s="190"/>
      <c r="E16" s="34" t="s">
        <v>32</v>
      </c>
      <c r="F16" s="34" t="s">
        <v>24</v>
      </c>
      <c r="G16" s="33">
        <v>0.12</v>
      </c>
      <c r="H16" s="29">
        <f t="shared" si="0"/>
        <v>3737</v>
      </c>
    </row>
    <row r="17" spans="1:8" ht="30.75" customHeight="1">
      <c r="A17" s="31"/>
      <c r="B17" s="190" t="s">
        <v>11</v>
      </c>
      <c r="C17" s="190"/>
      <c r="D17" s="190"/>
      <c r="E17" s="34" t="s">
        <v>9</v>
      </c>
      <c r="F17" s="34" t="s">
        <v>12</v>
      </c>
      <c r="G17" s="33">
        <v>0</v>
      </c>
      <c r="H17" s="29">
        <f t="shared" si="0"/>
        <v>0</v>
      </c>
    </row>
    <row r="18" spans="1:8" ht="15.75" customHeight="1">
      <c r="A18" s="31"/>
      <c r="B18" s="190" t="s">
        <v>25</v>
      </c>
      <c r="C18" s="191"/>
      <c r="D18" s="191"/>
      <c r="E18" s="30" t="s">
        <v>13</v>
      </c>
      <c r="F18" s="30" t="s">
        <v>14</v>
      </c>
      <c r="G18" s="33">
        <v>0.05</v>
      </c>
      <c r="H18" s="29">
        <f t="shared" si="0"/>
        <v>1557</v>
      </c>
    </row>
    <row r="19" spans="1:8" ht="30" customHeight="1">
      <c r="A19" s="31"/>
      <c r="B19" s="190" t="s">
        <v>33</v>
      </c>
      <c r="C19" s="190"/>
      <c r="D19" s="190"/>
      <c r="E19" s="32" t="s">
        <v>34</v>
      </c>
      <c r="F19" s="34" t="s">
        <v>41</v>
      </c>
      <c r="G19" s="33">
        <v>2.21</v>
      </c>
      <c r="H19" s="29">
        <f t="shared" si="0"/>
        <v>68817</v>
      </c>
    </row>
    <row r="20" spans="1:8" ht="63">
      <c r="A20" s="31"/>
      <c r="B20" s="189" t="s">
        <v>15</v>
      </c>
      <c r="C20" s="189"/>
      <c r="D20" s="189"/>
      <c r="E20" s="32" t="s">
        <v>49</v>
      </c>
      <c r="F20" s="34" t="s">
        <v>41</v>
      </c>
      <c r="G20" s="33">
        <v>0.45</v>
      </c>
      <c r="H20" s="29">
        <f t="shared" si="0"/>
        <v>14012</v>
      </c>
    </row>
    <row r="21" spans="1:8" ht="30" customHeight="1">
      <c r="A21" s="31"/>
      <c r="B21" s="190" t="s">
        <v>35</v>
      </c>
      <c r="C21" s="191"/>
      <c r="D21" s="191"/>
      <c r="E21" s="32" t="s">
        <v>34</v>
      </c>
      <c r="F21" s="34" t="s">
        <v>41</v>
      </c>
      <c r="G21" s="33">
        <f>3.57-G22-G23</f>
        <v>3.57</v>
      </c>
      <c r="H21" s="29">
        <f t="shared" si="0"/>
        <v>111166</v>
      </c>
    </row>
    <row r="22" spans="1:8" ht="29.25" customHeight="1">
      <c r="A22" s="31"/>
      <c r="B22" s="190" t="s">
        <v>27</v>
      </c>
      <c r="C22" s="190"/>
      <c r="D22" s="190"/>
      <c r="E22" s="32" t="s">
        <v>34</v>
      </c>
      <c r="F22" s="34" t="s">
        <v>41</v>
      </c>
      <c r="G22" s="33">
        <v>0</v>
      </c>
      <c r="H22" s="29">
        <f t="shared" si="0"/>
        <v>0</v>
      </c>
    </row>
    <row r="23" spans="1:8" ht="29.25" customHeight="1">
      <c r="A23" s="31"/>
      <c r="B23" s="190" t="s">
        <v>28</v>
      </c>
      <c r="C23" s="190"/>
      <c r="D23" s="190"/>
      <c r="E23" s="32" t="s">
        <v>34</v>
      </c>
      <c r="F23" s="34" t="s">
        <v>41</v>
      </c>
      <c r="G23" s="33">
        <v>0</v>
      </c>
      <c r="H23" s="29">
        <f t="shared" si="0"/>
        <v>0</v>
      </c>
    </row>
    <row r="24" spans="1:8" ht="27.75" customHeight="1">
      <c r="A24" s="31"/>
      <c r="B24" s="191" t="s">
        <v>20</v>
      </c>
      <c r="C24" s="191"/>
      <c r="D24" s="191"/>
      <c r="E24" s="32" t="s">
        <v>34</v>
      </c>
      <c r="F24" s="34" t="s">
        <v>41</v>
      </c>
      <c r="G24" s="33">
        <v>1.09</v>
      </c>
      <c r="H24" s="29">
        <f t="shared" si="0"/>
        <v>33941</v>
      </c>
    </row>
    <row r="25" spans="1:8" ht="19.5" customHeight="1">
      <c r="A25" s="27"/>
      <c r="B25" s="178" t="s">
        <v>29</v>
      </c>
      <c r="C25" s="178"/>
      <c r="D25" s="178"/>
      <c r="E25" s="7"/>
      <c r="F25" s="34"/>
      <c r="G25" s="10">
        <f>SUM(G12:G24)</f>
        <v>9.8</v>
      </c>
      <c r="H25" s="29">
        <f>ROUND(G25*$E$2*12,0)</f>
        <v>305160</v>
      </c>
    </row>
    <row r="26" spans="1:8" ht="15.75" customHeight="1">
      <c r="A26" s="27"/>
      <c r="B26" s="7"/>
      <c r="C26" s="7"/>
      <c r="D26" s="7"/>
      <c r="E26" s="7"/>
      <c r="F26" s="34"/>
      <c r="G26" s="10"/>
      <c r="H26" s="29"/>
    </row>
    <row r="27" spans="1:8" ht="15.75" customHeight="1">
      <c r="A27" s="27"/>
      <c r="B27" s="7"/>
      <c r="C27" s="7"/>
      <c r="D27" s="7"/>
      <c r="E27" s="7"/>
      <c r="F27" s="34"/>
      <c r="G27" s="10"/>
      <c r="H27" s="29"/>
    </row>
    <row r="28" spans="1:8" ht="17.25" customHeight="1">
      <c r="A28" s="27"/>
      <c r="B28" s="7"/>
      <c r="C28" s="7"/>
      <c r="D28" s="7"/>
      <c r="E28" s="7"/>
      <c r="F28" s="34"/>
      <c r="G28" s="10"/>
      <c r="H28" s="29"/>
    </row>
    <row r="29" spans="1:8" ht="16.5" customHeight="1" thickBot="1">
      <c r="A29" s="27">
        <v>3</v>
      </c>
      <c r="B29" s="193" t="s">
        <v>36</v>
      </c>
      <c r="C29" s="191"/>
      <c r="D29" s="191"/>
      <c r="E29" s="7"/>
      <c r="F29" s="36" t="s">
        <v>50</v>
      </c>
      <c r="G29" s="13">
        <v>1.09</v>
      </c>
      <c r="H29" s="94">
        <f>ROUND($E$2*G29*12,0)</f>
        <v>33941</v>
      </c>
    </row>
    <row r="30" spans="1:8" ht="15.75">
      <c r="A30" s="27"/>
      <c r="B30" s="194" t="s">
        <v>40</v>
      </c>
      <c r="C30" s="194"/>
      <c r="D30" s="194"/>
      <c r="E30" s="194"/>
      <c r="F30" s="194"/>
      <c r="G30" s="13">
        <f>SUM(G25:G29)</f>
        <v>10.89</v>
      </c>
      <c r="H30" s="29">
        <f t="shared" si="0"/>
        <v>339102</v>
      </c>
    </row>
    <row r="31" spans="1:8" ht="16.5" thickBot="1">
      <c r="A31" s="91">
        <v>4</v>
      </c>
      <c r="B31" s="195" t="s">
        <v>51</v>
      </c>
      <c r="C31" s="195"/>
      <c r="D31" s="195"/>
      <c r="E31" s="92"/>
      <c r="F31" s="37" t="s">
        <v>50</v>
      </c>
      <c r="G31" s="93">
        <v>0.78</v>
      </c>
      <c r="H31" s="94">
        <f>ROUND($E$2*G31*12,0)</f>
        <v>24288</v>
      </c>
    </row>
    <row r="32" spans="1:6" ht="15.75">
      <c r="A32" s="95"/>
      <c r="B32" s="96"/>
      <c r="C32" s="96"/>
      <c r="D32" s="96"/>
      <c r="E32" s="96"/>
      <c r="F32" s="97"/>
    </row>
    <row r="33" spans="1:6" ht="15.75">
      <c r="A33" s="95"/>
      <c r="B33" s="196" t="s">
        <v>111</v>
      </c>
      <c r="C33" s="196"/>
      <c r="D33" s="196"/>
      <c r="E33" s="196"/>
      <c r="F33" s="196"/>
    </row>
    <row r="34" spans="1:8" ht="15.75" customHeight="1">
      <c r="A34" s="95"/>
      <c r="B34" s="192" t="s">
        <v>112</v>
      </c>
      <c r="C34" s="192"/>
      <c r="D34" s="192"/>
      <c r="E34" s="192"/>
      <c r="F34" s="192"/>
      <c r="H34" t="s">
        <v>104</v>
      </c>
    </row>
    <row r="35" spans="1:6" ht="15.75" customHeight="1">
      <c r="A35" s="95"/>
      <c r="B35" s="192" t="s">
        <v>113</v>
      </c>
      <c r="C35" s="192"/>
      <c r="D35" s="192"/>
      <c r="E35" s="192"/>
      <c r="F35" s="192"/>
    </row>
    <row r="37" spans="2:8" ht="15.75">
      <c r="B37" s="18" t="s">
        <v>114</v>
      </c>
      <c r="C37" s="18"/>
      <c r="D37" s="18"/>
      <c r="E37" s="18"/>
      <c r="F37" s="18"/>
      <c r="G37" s="18"/>
      <c r="H37" s="18"/>
    </row>
  </sheetData>
  <sheetProtection/>
  <mergeCells count="26">
    <mergeCell ref="B9:F9"/>
    <mergeCell ref="B10:F10"/>
    <mergeCell ref="A1:H1"/>
    <mergeCell ref="B6:D6"/>
    <mergeCell ref="B7:F7"/>
    <mergeCell ref="B8:F8"/>
    <mergeCell ref="B22:D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5:F35"/>
    <mergeCell ref="B29:D29"/>
    <mergeCell ref="B30:F30"/>
    <mergeCell ref="B31:D31"/>
    <mergeCell ref="B24:D24"/>
    <mergeCell ref="B25:D25"/>
    <mergeCell ref="B33:F33"/>
    <mergeCell ref="B34:F34"/>
  </mergeCells>
  <printOptions horizontalCentered="1"/>
  <pageMargins left="0.3937007874015748" right="0" top="0.3937007874015748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3">
      <selection activeCell="G37" sqref="G3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25390625" style="0" customWidth="1"/>
    <col min="5" max="5" width="18.00390625" style="0" customWidth="1"/>
    <col min="6" max="6" width="18.00390625" style="0" hidden="1" customWidth="1"/>
    <col min="7" max="7" width="13.625" style="0" customWidth="1"/>
    <col min="8" max="8" width="13.25390625" style="0" customWidth="1"/>
  </cols>
  <sheetData>
    <row r="1" spans="4:8" ht="66.75" customHeight="1">
      <c r="D1" s="204" t="s">
        <v>115</v>
      </c>
      <c r="E1" s="204"/>
      <c r="F1" s="204"/>
      <c r="G1" s="204"/>
      <c r="H1" s="204"/>
    </row>
    <row r="4" spans="1:8" ht="19.5">
      <c r="A4" s="163" t="s">
        <v>116</v>
      </c>
      <c r="B4" s="163"/>
      <c r="C4" s="163"/>
      <c r="D4" s="163"/>
      <c r="E4" s="163"/>
      <c r="F4" s="163"/>
      <c r="G4" s="163"/>
      <c r="H4" s="163"/>
    </row>
    <row r="5" spans="1:8" ht="19.5">
      <c r="A5" s="98"/>
      <c r="B5" s="98"/>
      <c r="C5" s="98"/>
      <c r="D5" s="98"/>
      <c r="E5" s="98"/>
      <c r="F5" s="98"/>
      <c r="G5" s="98"/>
      <c r="H5" s="98"/>
    </row>
    <row r="6" spans="1:8" ht="19.5">
      <c r="A6" s="98"/>
      <c r="B6" s="192" t="s">
        <v>129</v>
      </c>
      <c r="C6" s="192"/>
      <c r="D6" s="192"/>
      <c r="E6" s="192"/>
      <c r="F6" s="192"/>
      <c r="G6" s="98"/>
      <c r="H6" s="98"/>
    </row>
    <row r="8" spans="2:6" ht="18.75">
      <c r="B8" s="1" t="s">
        <v>42</v>
      </c>
      <c r="C8" s="2"/>
      <c r="D8" s="2" t="s">
        <v>0</v>
      </c>
      <c r="E8" s="15">
        <v>2586.3</v>
      </c>
      <c r="F8" s="2"/>
    </row>
    <row r="9" spans="2:6" ht="15.75">
      <c r="B9" s="3" t="s">
        <v>1</v>
      </c>
      <c r="C9" s="19">
        <v>5</v>
      </c>
      <c r="D9" s="2" t="s">
        <v>2</v>
      </c>
      <c r="E9" s="16">
        <v>60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07.25" customHeight="1">
      <c r="A12" s="23" t="s">
        <v>37</v>
      </c>
      <c r="B12" s="208" t="s">
        <v>56</v>
      </c>
      <c r="C12" s="208"/>
      <c r="D12" s="208"/>
      <c r="E12" s="24" t="s">
        <v>6</v>
      </c>
      <c r="F12" s="24" t="s">
        <v>7</v>
      </c>
      <c r="G12" s="99" t="s">
        <v>125</v>
      </c>
      <c r="H12" s="100" t="s">
        <v>126</v>
      </c>
    </row>
    <row r="13" spans="1:8" ht="15.75" customHeight="1" hidden="1">
      <c r="A13" s="27"/>
      <c r="B13" s="199" t="s">
        <v>45</v>
      </c>
      <c r="C13" s="199"/>
      <c r="D13" s="199"/>
      <c r="E13" s="199"/>
      <c r="F13" s="199"/>
      <c r="G13" s="28"/>
      <c r="H13" s="29"/>
    </row>
    <row r="14" spans="1:8" ht="15.75" customHeight="1" hidden="1">
      <c r="A14" s="27">
        <v>1</v>
      </c>
      <c r="B14" s="190" t="s">
        <v>46</v>
      </c>
      <c r="C14" s="190"/>
      <c r="D14" s="190"/>
      <c r="E14" s="190"/>
      <c r="F14" s="190"/>
      <c r="G14" s="13">
        <f>G37</f>
        <v>11.21</v>
      </c>
      <c r="H14" s="29">
        <f>ROUND(G14*$E$8*12,0)</f>
        <v>347909</v>
      </c>
    </row>
    <row r="15" spans="1:8" ht="15.75" customHeight="1" hidden="1">
      <c r="A15" s="27"/>
      <c r="B15" s="190" t="s">
        <v>47</v>
      </c>
      <c r="C15" s="190"/>
      <c r="D15" s="190"/>
      <c r="E15" s="190"/>
      <c r="F15" s="190"/>
      <c r="G15" s="12">
        <v>0.78</v>
      </c>
      <c r="H15" s="29">
        <f>ROUND($E$8*G15*12,0)</f>
        <v>24208</v>
      </c>
    </row>
    <row r="16" spans="1:8" ht="22.5" customHeight="1">
      <c r="A16" s="113">
        <v>1</v>
      </c>
      <c r="B16" s="156">
        <v>2</v>
      </c>
      <c r="C16" s="156"/>
      <c r="D16" s="203"/>
      <c r="E16" s="109">
        <v>3</v>
      </c>
      <c r="F16" s="110"/>
      <c r="G16" s="111">
        <v>4</v>
      </c>
      <c r="H16" s="112" t="s">
        <v>127</v>
      </c>
    </row>
    <row r="17" spans="1:8" ht="18.75">
      <c r="A17" s="27">
        <v>1</v>
      </c>
      <c r="B17" s="162" t="s">
        <v>38</v>
      </c>
      <c r="C17" s="162"/>
      <c r="D17" s="162"/>
      <c r="E17" s="162"/>
      <c r="F17" s="162"/>
      <c r="G17" s="30"/>
      <c r="H17" s="29"/>
    </row>
    <row r="18" spans="1:8" ht="15.75">
      <c r="A18" s="101" t="s">
        <v>117</v>
      </c>
      <c r="B18" s="9" t="s">
        <v>39</v>
      </c>
      <c r="C18" s="9"/>
      <c r="D18" s="9"/>
      <c r="E18" s="9"/>
      <c r="F18" s="5"/>
      <c r="G18" s="7"/>
      <c r="H18" s="29"/>
    </row>
    <row r="19" spans="1:8" ht="30.75" customHeight="1">
      <c r="A19" s="31"/>
      <c r="B19" s="189" t="s">
        <v>48</v>
      </c>
      <c r="C19" s="189"/>
      <c r="D19" s="189"/>
      <c r="E19" s="56" t="s">
        <v>31</v>
      </c>
      <c r="F19" s="32" t="s">
        <v>23</v>
      </c>
      <c r="G19" s="33">
        <v>1.12</v>
      </c>
      <c r="H19" s="29">
        <f aca="true" t="shared" si="0" ref="H19:H32">ROUND(G19*$E$8*5,0)</f>
        <v>14483</v>
      </c>
    </row>
    <row r="20" spans="1:8" ht="15.75" customHeight="1">
      <c r="A20" s="31"/>
      <c r="B20" s="189" t="s">
        <v>17</v>
      </c>
      <c r="C20" s="189"/>
      <c r="D20" s="189"/>
      <c r="E20" s="56" t="s">
        <v>31</v>
      </c>
      <c r="F20" s="32" t="s">
        <v>18</v>
      </c>
      <c r="G20" s="33">
        <v>0.3</v>
      </c>
      <c r="H20" s="29">
        <f t="shared" si="0"/>
        <v>3879</v>
      </c>
    </row>
    <row r="21" spans="1:8" ht="15.75" customHeight="1">
      <c r="A21" s="31"/>
      <c r="B21" s="190" t="s">
        <v>22</v>
      </c>
      <c r="C21" s="190"/>
      <c r="D21" s="190"/>
      <c r="E21" s="59" t="s">
        <v>67</v>
      </c>
      <c r="F21" s="34" t="s">
        <v>19</v>
      </c>
      <c r="G21" s="33">
        <v>0.41</v>
      </c>
      <c r="H21" s="29">
        <f t="shared" si="0"/>
        <v>5302</v>
      </c>
    </row>
    <row r="22" spans="1:8" ht="15.75" customHeight="1">
      <c r="A22" s="31"/>
      <c r="B22" s="197" t="s">
        <v>30</v>
      </c>
      <c r="C22" s="197"/>
      <c r="D22" s="197"/>
      <c r="E22" s="60" t="s">
        <v>9</v>
      </c>
      <c r="F22" s="35" t="s">
        <v>10</v>
      </c>
      <c r="G22" s="33">
        <v>0.54</v>
      </c>
      <c r="H22" s="29">
        <f t="shared" si="0"/>
        <v>6983</v>
      </c>
    </row>
    <row r="23" spans="1:8" ht="51">
      <c r="A23" s="31"/>
      <c r="B23" s="190" t="s">
        <v>26</v>
      </c>
      <c r="C23" s="190"/>
      <c r="D23" s="190"/>
      <c r="E23" s="59" t="s">
        <v>68</v>
      </c>
      <c r="F23" s="34" t="s">
        <v>24</v>
      </c>
      <c r="G23" s="33">
        <v>0.13</v>
      </c>
      <c r="H23" s="29">
        <f t="shared" si="0"/>
        <v>1681</v>
      </c>
    </row>
    <row r="24" spans="1:8" ht="30.75" customHeight="1">
      <c r="A24" s="31"/>
      <c r="B24" s="190" t="s">
        <v>11</v>
      </c>
      <c r="C24" s="190"/>
      <c r="D24" s="190"/>
      <c r="E24" s="59" t="s">
        <v>9</v>
      </c>
      <c r="F24" s="34" t="s">
        <v>12</v>
      </c>
      <c r="G24" s="108">
        <v>0</v>
      </c>
      <c r="H24" s="29">
        <f t="shared" si="0"/>
        <v>0</v>
      </c>
    </row>
    <row r="25" spans="1:8" ht="15.75" customHeight="1">
      <c r="A25" s="31"/>
      <c r="B25" s="190" t="s">
        <v>25</v>
      </c>
      <c r="C25" s="191"/>
      <c r="D25" s="191"/>
      <c r="E25" s="61" t="s">
        <v>13</v>
      </c>
      <c r="F25" s="30" t="s">
        <v>14</v>
      </c>
      <c r="G25" s="33">
        <v>0.05</v>
      </c>
      <c r="H25" s="29">
        <f t="shared" si="0"/>
        <v>647</v>
      </c>
    </row>
    <row r="26" spans="1:8" ht="49.5" customHeight="1">
      <c r="A26" s="31"/>
      <c r="B26" s="190" t="s">
        <v>69</v>
      </c>
      <c r="C26" s="190"/>
      <c r="D26" s="190"/>
      <c r="E26" s="56" t="s">
        <v>128</v>
      </c>
      <c r="F26" s="34" t="s">
        <v>41</v>
      </c>
      <c r="G26" s="33">
        <v>1.63</v>
      </c>
      <c r="H26" s="29">
        <f t="shared" si="0"/>
        <v>21078</v>
      </c>
    </row>
    <row r="27" spans="1:8" ht="51">
      <c r="A27" s="31"/>
      <c r="B27" s="189" t="s">
        <v>15</v>
      </c>
      <c r="C27" s="189"/>
      <c r="D27" s="189"/>
      <c r="E27" s="56" t="s">
        <v>49</v>
      </c>
      <c r="F27" s="34" t="s">
        <v>41</v>
      </c>
      <c r="G27" s="33">
        <v>0.47</v>
      </c>
      <c r="H27" s="29">
        <f t="shared" si="0"/>
        <v>6078</v>
      </c>
    </row>
    <row r="28" spans="1:8" ht="32.25" customHeight="1">
      <c r="A28" s="31"/>
      <c r="B28" s="190" t="s">
        <v>35</v>
      </c>
      <c r="C28" s="191"/>
      <c r="D28" s="191"/>
      <c r="E28" s="56" t="s">
        <v>34</v>
      </c>
      <c r="F28" s="34" t="s">
        <v>41</v>
      </c>
      <c r="G28" s="33">
        <f>4.32-G29-G30</f>
        <v>4.32</v>
      </c>
      <c r="H28" s="29">
        <f t="shared" si="0"/>
        <v>55864</v>
      </c>
    </row>
    <row r="29" spans="1:8" ht="15.75">
      <c r="A29" s="31"/>
      <c r="B29" s="190" t="s">
        <v>27</v>
      </c>
      <c r="C29" s="190"/>
      <c r="D29" s="190"/>
      <c r="E29" s="59" t="s">
        <v>9</v>
      </c>
      <c r="F29" s="34" t="s">
        <v>41</v>
      </c>
      <c r="G29" s="108">
        <v>0</v>
      </c>
      <c r="H29" s="29">
        <f t="shared" si="0"/>
        <v>0</v>
      </c>
    </row>
    <row r="30" spans="1:8" ht="15.75">
      <c r="A30" s="31"/>
      <c r="B30" s="190" t="s">
        <v>28</v>
      </c>
      <c r="C30" s="190"/>
      <c r="D30" s="190"/>
      <c r="E30" s="59" t="s">
        <v>9</v>
      </c>
      <c r="F30" s="34" t="s">
        <v>41</v>
      </c>
      <c r="G30" s="108">
        <v>0</v>
      </c>
      <c r="H30" s="29">
        <f t="shared" si="0"/>
        <v>0</v>
      </c>
    </row>
    <row r="31" spans="1:8" ht="27.75" customHeight="1">
      <c r="A31" s="31"/>
      <c r="B31" s="191" t="s">
        <v>20</v>
      </c>
      <c r="C31" s="191"/>
      <c r="D31" s="191"/>
      <c r="E31" s="56" t="s">
        <v>34</v>
      </c>
      <c r="F31" s="34" t="s">
        <v>41</v>
      </c>
      <c r="G31" s="33">
        <v>1.12</v>
      </c>
      <c r="H31" s="29">
        <f t="shared" si="0"/>
        <v>14483</v>
      </c>
    </row>
    <row r="32" spans="1:8" ht="19.5" customHeight="1">
      <c r="A32" s="27"/>
      <c r="B32" s="178" t="s">
        <v>29</v>
      </c>
      <c r="C32" s="178"/>
      <c r="D32" s="178"/>
      <c r="E32" s="103"/>
      <c r="F32" s="34"/>
      <c r="G32" s="10">
        <f>SUM(G19:G31)</f>
        <v>10.09</v>
      </c>
      <c r="H32" s="29">
        <f t="shared" si="0"/>
        <v>130479</v>
      </c>
    </row>
    <row r="33" spans="1:8" ht="15.75" customHeight="1" hidden="1">
      <c r="A33" s="27"/>
      <c r="B33" s="205"/>
      <c r="C33" s="206"/>
      <c r="D33" s="207"/>
      <c r="E33" s="103"/>
      <c r="F33" s="34"/>
      <c r="G33" s="10"/>
      <c r="H33" s="29">
        <f>ROUND(G33*$E$8*6,0)</f>
        <v>0</v>
      </c>
    </row>
    <row r="34" spans="1:8" ht="15.75" customHeight="1" hidden="1">
      <c r="A34" s="27"/>
      <c r="B34" s="205"/>
      <c r="C34" s="206"/>
      <c r="D34" s="207"/>
      <c r="E34" s="103"/>
      <c r="F34" s="34"/>
      <c r="G34" s="10"/>
      <c r="H34" s="29">
        <f>ROUND(G34*$E$8*6,0)</f>
        <v>0</v>
      </c>
    </row>
    <row r="35" spans="1:8" ht="17.25" customHeight="1" hidden="1">
      <c r="A35" s="27"/>
      <c r="B35" s="205"/>
      <c r="C35" s="206"/>
      <c r="D35" s="207"/>
      <c r="E35" s="103"/>
      <c r="F35" s="34"/>
      <c r="G35" s="10"/>
      <c r="H35" s="29">
        <f>ROUND(G35*$E$8*6,0)</f>
        <v>0</v>
      </c>
    </row>
    <row r="36" spans="1:8" ht="15.75">
      <c r="A36" s="27" t="s">
        <v>118</v>
      </c>
      <c r="B36" s="193" t="s">
        <v>36</v>
      </c>
      <c r="C36" s="191"/>
      <c r="D36" s="191"/>
      <c r="E36" s="105" t="s">
        <v>120</v>
      </c>
      <c r="F36" s="36" t="s">
        <v>50</v>
      </c>
      <c r="G36" s="13">
        <v>1.12</v>
      </c>
      <c r="H36" s="29">
        <f>ROUND(G36*$E$8*5,0)</f>
        <v>14483</v>
      </c>
    </row>
    <row r="37" spans="1:8" ht="15.75">
      <c r="A37" s="27" t="s">
        <v>119</v>
      </c>
      <c r="B37" s="200" t="s">
        <v>40</v>
      </c>
      <c r="C37" s="201"/>
      <c r="D37" s="201"/>
      <c r="E37" s="104"/>
      <c r="F37" s="102"/>
      <c r="G37" s="13">
        <f>SUM(G32:G36)</f>
        <v>11.21</v>
      </c>
      <c r="H37" s="29">
        <f>ROUND(G37*$E$8*5,0)</f>
        <v>144962</v>
      </c>
    </row>
    <row r="38" spans="1:8" ht="16.5" thickBot="1">
      <c r="A38" s="91" t="s">
        <v>52</v>
      </c>
      <c r="B38" s="195" t="s">
        <v>51</v>
      </c>
      <c r="C38" s="195"/>
      <c r="D38" s="195"/>
      <c r="E38" s="106" t="s">
        <v>120</v>
      </c>
      <c r="F38" s="37" t="s">
        <v>50</v>
      </c>
      <c r="G38" s="107">
        <v>0.8</v>
      </c>
      <c r="H38" s="94">
        <f>ROUND(G38*$E$8*5,0)</f>
        <v>10345</v>
      </c>
    </row>
    <row r="39" spans="1:6" ht="15.75" customHeight="1">
      <c r="A39" s="95"/>
      <c r="B39" s="202" t="s">
        <v>130</v>
      </c>
      <c r="C39" s="202"/>
      <c r="D39" s="202"/>
      <c r="E39" s="202"/>
      <c r="F39" s="97"/>
    </row>
    <row r="40" spans="1:6" ht="15.75" hidden="1">
      <c r="A40" s="95"/>
      <c r="B40" s="196" t="s">
        <v>111</v>
      </c>
      <c r="C40" s="196"/>
      <c r="D40" s="196"/>
      <c r="E40" s="196"/>
      <c r="F40" s="196"/>
    </row>
    <row r="41" spans="1:8" ht="15.75" customHeight="1" hidden="1">
      <c r="A41" s="95"/>
      <c r="B41" s="192" t="s">
        <v>112</v>
      </c>
      <c r="C41" s="192"/>
      <c r="D41" s="192"/>
      <c r="E41" s="192"/>
      <c r="F41" s="192"/>
      <c r="H41" t="s">
        <v>104</v>
      </c>
    </row>
    <row r="42" spans="1:6" ht="15.75" customHeight="1" hidden="1">
      <c r="A42" s="95"/>
      <c r="B42" s="192" t="s">
        <v>113</v>
      </c>
      <c r="C42" s="192"/>
      <c r="D42" s="192"/>
      <c r="E42" s="192"/>
      <c r="F42" s="192"/>
    </row>
    <row r="44" spans="2:8" ht="15.75">
      <c r="B44" s="18" t="s">
        <v>121</v>
      </c>
      <c r="C44" s="18"/>
      <c r="D44" s="18"/>
      <c r="E44" s="74" t="s">
        <v>122</v>
      </c>
      <c r="F44" s="74"/>
      <c r="G44" s="74"/>
      <c r="H44" s="74"/>
    </row>
    <row r="46" spans="2:5" ht="15.75">
      <c r="B46" s="18" t="s">
        <v>123</v>
      </c>
      <c r="E46" t="s">
        <v>124</v>
      </c>
    </row>
  </sheetData>
  <sheetProtection/>
  <mergeCells count="33">
    <mergeCell ref="B17:F17"/>
    <mergeCell ref="B19:D19"/>
    <mergeCell ref="B12:D12"/>
    <mergeCell ref="B13:F13"/>
    <mergeCell ref="B14:F14"/>
    <mergeCell ref="B15:F15"/>
    <mergeCell ref="B32:D32"/>
    <mergeCell ref="B20:D20"/>
    <mergeCell ref="B21:D21"/>
    <mergeCell ref="B22:D22"/>
    <mergeCell ref="B23:D23"/>
    <mergeCell ref="B24:D24"/>
    <mergeCell ref="B25:D25"/>
    <mergeCell ref="B42:F42"/>
    <mergeCell ref="D1:H1"/>
    <mergeCell ref="A4:H4"/>
    <mergeCell ref="B6:F6"/>
    <mergeCell ref="B35:D35"/>
    <mergeCell ref="B34:D34"/>
    <mergeCell ref="B33:D33"/>
    <mergeCell ref="B26:D26"/>
    <mergeCell ref="B27:D27"/>
    <mergeCell ref="B28:D28"/>
    <mergeCell ref="B37:D37"/>
    <mergeCell ref="B39:E39"/>
    <mergeCell ref="B16:D16"/>
    <mergeCell ref="B41:F41"/>
    <mergeCell ref="B38:D38"/>
    <mergeCell ref="B36:D36"/>
    <mergeCell ref="B40:F40"/>
    <mergeCell ref="B29:D29"/>
    <mergeCell ref="B30:D30"/>
    <mergeCell ref="B31:D31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22.75390625" style="0" customWidth="1"/>
    <col min="5" max="5" width="18.00390625" style="0" customWidth="1"/>
    <col min="6" max="6" width="18.00390625" style="0" hidden="1" customWidth="1"/>
    <col min="7" max="7" width="9.75390625" style="0" customWidth="1"/>
    <col min="8" max="8" width="13.25390625" style="0" customWidth="1"/>
    <col min="9" max="9" width="17.25390625" style="0" customWidth="1"/>
  </cols>
  <sheetData>
    <row r="1" spans="1:8" ht="75.75" customHeight="1">
      <c r="A1" s="163" t="s">
        <v>141</v>
      </c>
      <c r="B1" s="163"/>
      <c r="C1" s="163"/>
      <c r="D1" s="163"/>
      <c r="E1" s="163"/>
      <c r="F1" s="163"/>
      <c r="G1" s="163"/>
      <c r="H1" s="163"/>
    </row>
    <row r="2" spans="1:8" ht="17.25" customHeight="1">
      <c r="A2" s="98"/>
      <c r="B2" s="98"/>
      <c r="C2" s="98"/>
      <c r="D2" s="98"/>
      <c r="E2" s="98"/>
      <c r="F2" s="98"/>
      <c r="G2" s="98"/>
      <c r="H2" s="98"/>
    </row>
    <row r="3" spans="1:8" ht="17.25" customHeight="1">
      <c r="A3" s="98"/>
      <c r="B3" s="98"/>
      <c r="C3" s="98"/>
      <c r="D3" s="98"/>
      <c r="E3" s="98"/>
      <c r="F3" s="98"/>
      <c r="G3" s="98"/>
      <c r="H3" s="98"/>
    </row>
    <row r="4" spans="2:6" ht="37.5" customHeight="1">
      <c r="B4" s="1" t="s">
        <v>42</v>
      </c>
      <c r="C4" s="2"/>
      <c r="D4" s="127" t="s">
        <v>140</v>
      </c>
      <c r="E4" s="15">
        <v>2586.3</v>
      </c>
      <c r="F4" s="2"/>
    </row>
    <row r="5" spans="2:6" ht="15.75">
      <c r="B5" s="3" t="s">
        <v>1</v>
      </c>
      <c r="C5" s="19">
        <v>5</v>
      </c>
      <c r="D5" s="2" t="s">
        <v>2</v>
      </c>
      <c r="E5" s="16">
        <v>60</v>
      </c>
      <c r="F5" s="2"/>
    </row>
    <row r="6" spans="2:7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</row>
    <row r="7" spans="2:7" ht="16.5" thickBot="1">
      <c r="B7" s="3"/>
      <c r="C7" s="4"/>
      <c r="D7" s="2" t="s">
        <v>5</v>
      </c>
      <c r="E7" s="2" t="s">
        <v>16</v>
      </c>
      <c r="F7" s="2"/>
      <c r="G7" s="2"/>
    </row>
    <row r="8" spans="1:9" ht="86.25" customHeight="1">
      <c r="A8" s="23" t="s">
        <v>37</v>
      </c>
      <c r="B8" s="208" t="s">
        <v>56</v>
      </c>
      <c r="C8" s="208"/>
      <c r="D8" s="208"/>
      <c r="E8" s="24" t="s">
        <v>6</v>
      </c>
      <c r="F8" s="24" t="s">
        <v>7</v>
      </c>
      <c r="G8" s="114" t="s">
        <v>131</v>
      </c>
      <c r="H8" s="114" t="s">
        <v>132</v>
      </c>
      <c r="I8" s="26" t="s">
        <v>133</v>
      </c>
    </row>
    <row r="9" spans="1:9" ht="29.25" customHeight="1">
      <c r="A9" s="115">
        <v>1</v>
      </c>
      <c r="B9" s="155">
        <v>2</v>
      </c>
      <c r="C9" s="156"/>
      <c r="D9" s="157"/>
      <c r="E9" s="110">
        <v>3</v>
      </c>
      <c r="F9" s="110"/>
      <c r="G9" s="122">
        <v>4</v>
      </c>
      <c r="H9" s="123">
        <v>5</v>
      </c>
      <c r="I9" s="124" t="s">
        <v>139</v>
      </c>
    </row>
    <row r="10" spans="1:9" ht="15.75" customHeight="1">
      <c r="A10" s="27"/>
      <c r="B10" s="199" t="s">
        <v>45</v>
      </c>
      <c r="C10" s="199"/>
      <c r="D10" s="199"/>
      <c r="E10" s="199"/>
      <c r="F10" s="199"/>
      <c r="G10" s="28"/>
      <c r="H10" s="116"/>
      <c r="I10" s="120"/>
    </row>
    <row r="11" spans="1:9" ht="15.75" customHeight="1">
      <c r="A11" s="27">
        <v>1</v>
      </c>
      <c r="B11" s="193" t="s">
        <v>46</v>
      </c>
      <c r="C11" s="193"/>
      <c r="D11" s="193"/>
      <c r="E11" s="193"/>
      <c r="F11" s="193"/>
      <c r="G11" s="13">
        <v>10.91</v>
      </c>
      <c r="H11" s="41">
        <v>11.62</v>
      </c>
      <c r="I11" s="29">
        <f>ROUND($E$4*G11*6,0)+ROUND($E$4*H11*6,0)</f>
        <v>349616</v>
      </c>
    </row>
    <row r="12" spans="1:9" ht="15.75" customHeight="1">
      <c r="A12" s="27"/>
      <c r="B12" s="193" t="s">
        <v>47</v>
      </c>
      <c r="C12" s="193"/>
      <c r="D12" s="193"/>
      <c r="E12" s="193"/>
      <c r="F12" s="193"/>
      <c r="G12" s="12">
        <v>0.8</v>
      </c>
      <c r="H12" s="41">
        <v>0.85</v>
      </c>
      <c r="I12" s="29">
        <f aca="true" t="shared" si="0" ref="I12:I31">ROUND($E$4*G12*6,0)+ROUND($E$4*H12*6,0)</f>
        <v>25604</v>
      </c>
    </row>
    <row r="13" spans="1:9" ht="18.75">
      <c r="A13" s="27">
        <v>2</v>
      </c>
      <c r="B13" s="162" t="s">
        <v>38</v>
      </c>
      <c r="C13" s="162"/>
      <c r="D13" s="162"/>
      <c r="E13" s="162"/>
      <c r="F13" s="162"/>
      <c r="G13" s="30"/>
      <c r="H13" s="116"/>
      <c r="I13" s="29"/>
    </row>
    <row r="14" spans="1:9" ht="15.75">
      <c r="A14" s="27"/>
      <c r="B14" s="9" t="s">
        <v>39</v>
      </c>
      <c r="C14" s="9"/>
      <c r="D14" s="9"/>
      <c r="E14" s="9"/>
      <c r="F14" s="5"/>
      <c r="G14" s="7"/>
      <c r="H14" s="116"/>
      <c r="I14" s="29"/>
    </row>
    <row r="15" spans="1:9" ht="20.25" customHeight="1">
      <c r="A15" s="31"/>
      <c r="B15" s="189" t="s">
        <v>137</v>
      </c>
      <c r="C15" s="189"/>
      <c r="D15" s="189"/>
      <c r="E15" s="56" t="s">
        <v>31</v>
      </c>
      <c r="F15" s="32" t="s">
        <v>23</v>
      </c>
      <c r="G15" s="33">
        <v>1.12</v>
      </c>
      <c r="H15" s="126">
        <v>1.19</v>
      </c>
      <c r="I15" s="29">
        <f t="shared" si="0"/>
        <v>35846</v>
      </c>
    </row>
    <row r="16" spans="1:9" ht="15.75" customHeight="1">
      <c r="A16" s="31"/>
      <c r="B16" s="189" t="s">
        <v>17</v>
      </c>
      <c r="C16" s="189"/>
      <c r="D16" s="189"/>
      <c r="E16" s="56" t="s">
        <v>31</v>
      </c>
      <c r="F16" s="32" t="s">
        <v>18</v>
      </c>
      <c r="G16" s="33">
        <v>0.3</v>
      </c>
      <c r="H16" s="126">
        <v>0.32</v>
      </c>
      <c r="I16" s="29">
        <f t="shared" si="0"/>
        <v>9621</v>
      </c>
    </row>
    <row r="17" spans="1:9" ht="15.75" customHeight="1">
      <c r="A17" s="31"/>
      <c r="B17" s="190" t="s">
        <v>136</v>
      </c>
      <c r="C17" s="190"/>
      <c r="D17" s="190"/>
      <c r="E17" s="59" t="s">
        <v>8</v>
      </c>
      <c r="F17" s="34" t="s">
        <v>19</v>
      </c>
      <c r="G17" s="33">
        <v>0.11</v>
      </c>
      <c r="H17" s="126">
        <v>0.12</v>
      </c>
      <c r="I17" s="29">
        <f t="shared" si="0"/>
        <v>3569</v>
      </c>
    </row>
    <row r="18" spans="1:9" ht="15.75" customHeight="1">
      <c r="A18" s="31"/>
      <c r="B18" s="197" t="s">
        <v>30</v>
      </c>
      <c r="C18" s="197"/>
      <c r="D18" s="197"/>
      <c r="E18" s="60" t="s">
        <v>9</v>
      </c>
      <c r="F18" s="35" t="s">
        <v>10</v>
      </c>
      <c r="G18" s="33">
        <v>0.54</v>
      </c>
      <c r="H18" s="126">
        <v>0.58</v>
      </c>
      <c r="I18" s="29">
        <f t="shared" si="0"/>
        <v>17380</v>
      </c>
    </row>
    <row r="19" spans="1:9" ht="53.25" customHeight="1">
      <c r="A19" s="31"/>
      <c r="B19" s="190" t="s">
        <v>26</v>
      </c>
      <c r="C19" s="190"/>
      <c r="D19" s="190"/>
      <c r="E19" s="59" t="s">
        <v>32</v>
      </c>
      <c r="F19" s="34" t="s">
        <v>24</v>
      </c>
      <c r="G19" s="33">
        <v>0.13</v>
      </c>
      <c r="H19" s="126">
        <v>0.14</v>
      </c>
      <c r="I19" s="29">
        <f t="shared" si="0"/>
        <v>4189</v>
      </c>
    </row>
    <row r="20" spans="1:9" ht="30.75" customHeight="1">
      <c r="A20" s="31"/>
      <c r="B20" s="190" t="s">
        <v>11</v>
      </c>
      <c r="C20" s="190"/>
      <c r="D20" s="190"/>
      <c r="E20" s="59" t="s">
        <v>9</v>
      </c>
      <c r="F20" s="34" t="s">
        <v>12</v>
      </c>
      <c r="G20" s="108">
        <v>0</v>
      </c>
      <c r="H20" s="126">
        <v>0</v>
      </c>
      <c r="I20" s="29">
        <f t="shared" si="0"/>
        <v>0</v>
      </c>
    </row>
    <row r="21" spans="1:9" ht="15.75" customHeight="1">
      <c r="A21" s="31"/>
      <c r="B21" s="190" t="s">
        <v>25</v>
      </c>
      <c r="C21" s="191"/>
      <c r="D21" s="191"/>
      <c r="E21" s="61" t="s">
        <v>13</v>
      </c>
      <c r="F21" s="30" t="s">
        <v>14</v>
      </c>
      <c r="G21" s="33">
        <v>0.05</v>
      </c>
      <c r="H21" s="126">
        <v>0.05</v>
      </c>
      <c r="I21" s="29">
        <f t="shared" si="0"/>
        <v>1552</v>
      </c>
    </row>
    <row r="22" spans="1:9" ht="30" customHeight="1">
      <c r="A22" s="31"/>
      <c r="B22" s="190" t="s">
        <v>33</v>
      </c>
      <c r="C22" s="190"/>
      <c r="D22" s="190"/>
      <c r="E22" s="56" t="s">
        <v>34</v>
      </c>
      <c r="F22" s="34" t="s">
        <v>41</v>
      </c>
      <c r="G22" s="33">
        <v>1.63</v>
      </c>
      <c r="H22" s="126">
        <v>1.74</v>
      </c>
      <c r="I22" s="29">
        <f t="shared" si="0"/>
        <v>52295</v>
      </c>
    </row>
    <row r="23" spans="1:9" ht="51">
      <c r="A23" s="31"/>
      <c r="B23" s="189" t="s">
        <v>15</v>
      </c>
      <c r="C23" s="189"/>
      <c r="D23" s="189"/>
      <c r="E23" s="56" t="s">
        <v>49</v>
      </c>
      <c r="F23" s="34" t="s">
        <v>41</v>
      </c>
      <c r="G23" s="33">
        <v>0.47</v>
      </c>
      <c r="H23" s="126">
        <v>0.5</v>
      </c>
      <c r="I23" s="29">
        <f t="shared" si="0"/>
        <v>15052</v>
      </c>
    </row>
    <row r="24" spans="1:9" ht="30" customHeight="1">
      <c r="A24" s="31"/>
      <c r="B24" s="190" t="s">
        <v>35</v>
      </c>
      <c r="C24" s="191"/>
      <c r="D24" s="191"/>
      <c r="E24" s="56" t="s">
        <v>34</v>
      </c>
      <c r="F24" s="34" t="s">
        <v>41</v>
      </c>
      <c r="G24" s="33">
        <f>4.32-G25-G26</f>
        <v>4.32</v>
      </c>
      <c r="H24" s="33">
        <f>4.6-H25-H26</f>
        <v>4.6</v>
      </c>
      <c r="I24" s="29">
        <f t="shared" si="0"/>
        <v>138419</v>
      </c>
    </row>
    <row r="25" spans="1:9" ht="29.25" customHeight="1">
      <c r="A25" s="31"/>
      <c r="B25" s="190" t="s">
        <v>27</v>
      </c>
      <c r="C25" s="190"/>
      <c r="D25" s="190"/>
      <c r="E25" s="56" t="s">
        <v>34</v>
      </c>
      <c r="F25" s="34" t="s">
        <v>41</v>
      </c>
      <c r="G25" s="108">
        <v>0</v>
      </c>
      <c r="H25" s="126">
        <v>0</v>
      </c>
      <c r="I25" s="29">
        <f t="shared" si="0"/>
        <v>0</v>
      </c>
    </row>
    <row r="26" spans="1:9" ht="29.25" customHeight="1">
      <c r="A26" s="31"/>
      <c r="B26" s="190" t="s">
        <v>28</v>
      </c>
      <c r="C26" s="190"/>
      <c r="D26" s="190"/>
      <c r="E26" s="56" t="s">
        <v>34</v>
      </c>
      <c r="F26" s="34" t="s">
        <v>41</v>
      </c>
      <c r="G26" s="108">
        <v>0</v>
      </c>
      <c r="H26" s="126">
        <v>0</v>
      </c>
      <c r="I26" s="29">
        <f t="shared" si="0"/>
        <v>0</v>
      </c>
    </row>
    <row r="27" spans="1:9" ht="27.75" customHeight="1">
      <c r="A27" s="31"/>
      <c r="B27" s="191" t="s">
        <v>138</v>
      </c>
      <c r="C27" s="191"/>
      <c r="D27" s="191"/>
      <c r="E27" s="56" t="s">
        <v>34</v>
      </c>
      <c r="F27" s="34" t="s">
        <v>41</v>
      </c>
      <c r="G27" s="33">
        <v>1.12</v>
      </c>
      <c r="H27" s="126">
        <v>1.19</v>
      </c>
      <c r="I27" s="29">
        <f t="shared" si="0"/>
        <v>35846</v>
      </c>
    </row>
    <row r="28" spans="1:9" ht="19.5" customHeight="1">
      <c r="A28" s="27"/>
      <c r="B28" s="178" t="s">
        <v>29</v>
      </c>
      <c r="C28" s="178"/>
      <c r="D28" s="178"/>
      <c r="E28" s="7"/>
      <c r="F28" s="34"/>
      <c r="G28" s="10">
        <f>SUM(G15:G27)</f>
        <v>9.79</v>
      </c>
      <c r="H28" s="10">
        <f>SUM(H15:H27)</f>
        <v>10.429999999999998</v>
      </c>
      <c r="I28" s="29">
        <f t="shared" si="0"/>
        <v>313770</v>
      </c>
    </row>
    <row r="29" spans="1:9" ht="16.5" customHeight="1">
      <c r="A29" s="27">
        <v>3</v>
      </c>
      <c r="B29" s="193" t="s">
        <v>36</v>
      </c>
      <c r="C29" s="191"/>
      <c r="D29" s="191"/>
      <c r="E29" s="105" t="s">
        <v>120</v>
      </c>
      <c r="F29" s="36" t="s">
        <v>50</v>
      </c>
      <c r="G29" s="13">
        <v>1.12</v>
      </c>
      <c r="H29" s="41">
        <v>1.19</v>
      </c>
      <c r="I29" s="29">
        <f t="shared" si="0"/>
        <v>35846</v>
      </c>
    </row>
    <row r="30" spans="1:9" ht="15.75">
      <c r="A30" s="27"/>
      <c r="B30" s="194" t="s">
        <v>40</v>
      </c>
      <c r="C30" s="194"/>
      <c r="D30" s="194"/>
      <c r="E30" s="194"/>
      <c r="F30" s="194"/>
      <c r="G30" s="13">
        <f>SUM(G28:G29)</f>
        <v>10.91</v>
      </c>
      <c r="H30" s="13">
        <f>SUM(H28:H29)</f>
        <v>11.619999999999997</v>
      </c>
      <c r="I30" s="29">
        <f t="shared" si="0"/>
        <v>349616</v>
      </c>
    </row>
    <row r="31" spans="1:9" ht="16.5" thickBot="1">
      <c r="A31" s="117">
        <v>4</v>
      </c>
      <c r="B31" s="210" t="s">
        <v>51</v>
      </c>
      <c r="C31" s="210"/>
      <c r="D31" s="210"/>
      <c r="E31" s="121" t="s">
        <v>120</v>
      </c>
      <c r="F31" s="118" t="s">
        <v>50</v>
      </c>
      <c r="G31" s="119">
        <v>0.8</v>
      </c>
      <c r="H31" s="125">
        <v>0.85</v>
      </c>
      <c r="I31" s="29">
        <f t="shared" si="0"/>
        <v>25604</v>
      </c>
    </row>
    <row r="32" spans="1:6" ht="44.25" customHeight="1">
      <c r="A32" s="209" t="s">
        <v>134</v>
      </c>
      <c r="B32" s="209"/>
      <c r="C32" s="209"/>
      <c r="D32" s="209"/>
      <c r="E32" s="209"/>
      <c r="F32" s="97"/>
    </row>
    <row r="33" spans="1:6" ht="15.75">
      <c r="A33" s="95"/>
      <c r="B33" s="196"/>
      <c r="C33" s="196"/>
      <c r="D33" s="196"/>
      <c r="E33" s="196"/>
      <c r="F33" s="196"/>
    </row>
    <row r="34" spans="1:8" ht="15.75" customHeight="1">
      <c r="A34" s="95"/>
      <c r="B34" s="192"/>
      <c r="C34" s="192"/>
      <c r="D34" s="192"/>
      <c r="E34" s="192"/>
      <c r="F34" s="192"/>
      <c r="H34" t="s">
        <v>104</v>
      </c>
    </row>
    <row r="35" spans="1:6" ht="15.75" customHeight="1">
      <c r="A35" s="95"/>
      <c r="B35" s="192"/>
      <c r="C35" s="192"/>
      <c r="D35" s="192"/>
      <c r="E35" s="192"/>
      <c r="F35" s="192"/>
    </row>
    <row r="36" spans="2:8" ht="15.75">
      <c r="B36" s="18" t="s">
        <v>135</v>
      </c>
      <c r="C36" s="18"/>
      <c r="D36" s="18"/>
      <c r="E36" s="18"/>
      <c r="F36" s="18"/>
      <c r="G36" s="18"/>
      <c r="H36" s="18"/>
    </row>
  </sheetData>
  <sheetProtection/>
  <mergeCells count="28">
    <mergeCell ref="B34:F34"/>
    <mergeCell ref="B35:F35"/>
    <mergeCell ref="B9:D9"/>
    <mergeCell ref="A32:E32"/>
    <mergeCell ref="B29:D29"/>
    <mergeCell ref="B30:F30"/>
    <mergeCell ref="B31:D31"/>
    <mergeCell ref="B33:F33"/>
    <mergeCell ref="B25:D25"/>
    <mergeCell ref="B26:D26"/>
    <mergeCell ref="B27:D27"/>
    <mergeCell ref="B28:D28"/>
    <mergeCell ref="B21:D21"/>
    <mergeCell ref="B22:D22"/>
    <mergeCell ref="B23:D23"/>
    <mergeCell ref="B24:D24"/>
    <mergeCell ref="B12:F12"/>
    <mergeCell ref="B13:F13"/>
    <mergeCell ref="B15:D15"/>
    <mergeCell ref="B16:D16"/>
    <mergeCell ref="B17:D17"/>
    <mergeCell ref="B18:D18"/>
    <mergeCell ref="B19:D19"/>
    <mergeCell ref="B20:D20"/>
    <mergeCell ref="A1:H1"/>
    <mergeCell ref="B8:D8"/>
    <mergeCell ref="B10:F10"/>
    <mergeCell ref="B11:F11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G7" sqref="G1:I16384"/>
    </sheetView>
  </sheetViews>
  <sheetFormatPr defaultColWidth="9.00390625" defaultRowHeight="15.75"/>
  <cols>
    <col min="1" max="1" width="3.75390625" style="0" customWidth="1"/>
    <col min="2" max="2" width="27.75390625" style="0" customWidth="1"/>
    <col min="3" max="3" width="3.50390625" style="0" customWidth="1"/>
    <col min="4" max="4" width="22.00390625" style="0" customWidth="1"/>
    <col min="5" max="5" width="35.50390625" style="0" customWidth="1"/>
    <col min="6" max="6" width="22.50390625" style="0" hidden="1" customWidth="1"/>
    <col min="7" max="7" width="9.375" style="0" hidden="1" customWidth="1"/>
    <col min="8" max="8" width="10.625" style="0" hidden="1" customWidth="1"/>
    <col min="9" max="9" width="11.625" style="0" hidden="1" customWidth="1"/>
    <col min="10" max="10" width="25.125" style="0" customWidth="1"/>
  </cols>
  <sheetData>
    <row r="1" spans="1:10" ht="123" customHeight="1">
      <c r="A1" s="225" t="s">
        <v>152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85.5" customHeight="1">
      <c r="A2" s="164" t="s">
        <v>142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2:10" ht="31.5">
      <c r="B3" s="1" t="s">
        <v>151</v>
      </c>
      <c r="C3" s="2"/>
      <c r="D3" s="127" t="s">
        <v>143</v>
      </c>
      <c r="E3" s="128">
        <v>2722.06</v>
      </c>
      <c r="F3" s="2"/>
      <c r="I3" s="44"/>
      <c r="J3" s="44"/>
    </row>
    <row r="4" spans="2:6" ht="15.75">
      <c r="B4" s="3" t="s">
        <v>1</v>
      </c>
      <c r="C4" s="19">
        <v>5</v>
      </c>
      <c r="D4" s="2" t="s">
        <v>2</v>
      </c>
      <c r="E4" s="16">
        <v>59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48.75" customHeight="1">
      <c r="A7" s="11" t="s">
        <v>37</v>
      </c>
      <c r="B7" s="155" t="s">
        <v>56</v>
      </c>
      <c r="C7" s="156"/>
      <c r="D7" s="157"/>
      <c r="E7" s="6" t="s">
        <v>6</v>
      </c>
      <c r="F7" s="6" t="s">
        <v>7</v>
      </c>
      <c r="G7" s="46" t="s">
        <v>144</v>
      </c>
      <c r="H7" s="158" t="s">
        <v>145</v>
      </c>
      <c r="I7" s="184"/>
      <c r="J7" s="185"/>
    </row>
    <row r="8" spans="1:10" ht="15.75">
      <c r="A8" s="12">
        <v>1</v>
      </c>
      <c r="B8" s="199"/>
      <c r="C8" s="199"/>
      <c r="D8" s="199"/>
      <c r="E8" s="199"/>
      <c r="F8" s="199"/>
      <c r="G8" s="47"/>
      <c r="H8" s="50" t="s">
        <v>58</v>
      </c>
      <c r="I8" s="49" t="s">
        <v>59</v>
      </c>
      <c r="J8" s="49" t="s">
        <v>60</v>
      </c>
    </row>
    <row r="9" spans="1:10" ht="15.75">
      <c r="A9" s="12"/>
      <c r="B9" s="199" t="s">
        <v>61</v>
      </c>
      <c r="C9" s="199"/>
      <c r="D9" s="199"/>
      <c r="E9" s="199"/>
      <c r="F9" s="199"/>
      <c r="G9" s="50"/>
      <c r="H9" s="50"/>
      <c r="I9" s="38"/>
      <c r="J9" s="49"/>
    </row>
    <row r="10" spans="1:10" ht="15.75">
      <c r="A10" s="51"/>
      <c r="B10" s="223" t="s">
        <v>62</v>
      </c>
      <c r="C10" s="223"/>
      <c r="D10" s="223"/>
      <c r="E10" s="223"/>
      <c r="F10" s="223"/>
      <c r="G10" s="129"/>
      <c r="H10" s="130">
        <v>149732.73</v>
      </c>
      <c r="I10" s="28"/>
      <c r="J10" s="131">
        <f>H10+I10</f>
        <v>149732.73</v>
      </c>
    </row>
    <row r="11" spans="1:10" ht="15.75">
      <c r="A11" s="51"/>
      <c r="B11" s="223" t="s">
        <v>63</v>
      </c>
      <c r="C11" s="223"/>
      <c r="D11" s="223"/>
      <c r="E11" s="223"/>
      <c r="F11" s="223"/>
      <c r="G11" s="129"/>
      <c r="H11" s="132">
        <v>9382.16</v>
      </c>
      <c r="I11" s="28"/>
      <c r="J11" s="131">
        <f>H11+I11</f>
        <v>9382.16</v>
      </c>
    </row>
    <row r="12" spans="1:10" ht="15.75">
      <c r="A12" s="12"/>
      <c r="B12" s="223" t="s">
        <v>64</v>
      </c>
      <c r="C12" s="223"/>
      <c r="D12" s="223"/>
      <c r="E12" s="223"/>
      <c r="F12" s="223"/>
      <c r="G12" s="129"/>
      <c r="H12" s="130"/>
      <c r="I12" s="28"/>
      <c r="J12" s="131">
        <f>H12+I12</f>
        <v>0</v>
      </c>
    </row>
    <row r="13" spans="1:10" ht="15.75">
      <c r="A13" s="12"/>
      <c r="B13" s="223" t="s">
        <v>146</v>
      </c>
      <c r="C13" s="223"/>
      <c r="D13" s="223"/>
      <c r="E13" s="223"/>
      <c r="F13" s="223"/>
      <c r="G13" s="129"/>
      <c r="H13" s="130"/>
      <c r="I13" s="53">
        <v>0</v>
      </c>
      <c r="J13" s="131">
        <f>H13+I13</f>
        <v>0</v>
      </c>
    </row>
    <row r="14" spans="1:10" ht="15.75">
      <c r="A14" s="12"/>
      <c r="B14" s="161" t="s">
        <v>66</v>
      </c>
      <c r="C14" s="161"/>
      <c r="D14" s="161"/>
      <c r="E14" s="161"/>
      <c r="F14" s="161"/>
      <c r="G14" s="129"/>
      <c r="H14" s="133">
        <f>SUM(H10:H12)</f>
        <v>159114.89</v>
      </c>
      <c r="I14" s="54">
        <f>SUM(I12:I13)</f>
        <v>0</v>
      </c>
      <c r="J14" s="133">
        <f>SUM(J10:J13)</f>
        <v>159114.89</v>
      </c>
    </row>
    <row r="15" spans="1:10" ht="18.75">
      <c r="A15" s="12">
        <v>2</v>
      </c>
      <c r="B15" s="162" t="s">
        <v>38</v>
      </c>
      <c r="C15" s="162"/>
      <c r="D15" s="162"/>
      <c r="E15" s="162"/>
      <c r="F15" s="162"/>
      <c r="G15" s="129"/>
      <c r="H15" s="130"/>
      <c r="I15" s="28"/>
      <c r="J15" s="40"/>
    </row>
    <row r="16" spans="1:10" ht="15.75">
      <c r="A16" s="12"/>
      <c r="B16" s="9" t="s">
        <v>39</v>
      </c>
      <c r="C16" s="9"/>
      <c r="D16" s="9"/>
      <c r="E16" s="9"/>
      <c r="F16" s="5"/>
      <c r="G16" s="48"/>
      <c r="H16" s="48"/>
      <c r="I16" s="45"/>
      <c r="J16" s="49"/>
    </row>
    <row r="17" spans="1:10" ht="30" customHeight="1">
      <c r="A17" s="55"/>
      <c r="B17" s="224" t="s">
        <v>107</v>
      </c>
      <c r="C17" s="224"/>
      <c r="D17" s="224"/>
      <c r="E17" s="56" t="s">
        <v>31</v>
      </c>
      <c r="F17" s="134" t="s">
        <v>23</v>
      </c>
      <c r="G17" s="135">
        <v>1.12</v>
      </c>
      <c r="H17" s="136">
        <f>ROUND(G17*$E$3*5,2)</f>
        <v>15243.54</v>
      </c>
      <c r="I17" s="137"/>
      <c r="J17" s="54">
        <f>SUM(H17:I17)</f>
        <v>15243.54</v>
      </c>
    </row>
    <row r="18" spans="1:10" ht="17.25" customHeight="1">
      <c r="A18" s="12"/>
      <c r="B18" s="221" t="s">
        <v>17</v>
      </c>
      <c r="C18" s="221"/>
      <c r="D18" s="221"/>
      <c r="E18" s="56" t="s">
        <v>31</v>
      </c>
      <c r="F18" s="134" t="s">
        <v>18</v>
      </c>
      <c r="G18" s="135">
        <v>0.3</v>
      </c>
      <c r="H18" s="136">
        <f>ROUND(G18*$E$3*5,2)</f>
        <v>4083.09</v>
      </c>
      <c r="I18" s="137"/>
      <c r="J18" s="54">
        <f>SUM(H18:I18)</f>
        <v>4083.09</v>
      </c>
    </row>
    <row r="19" spans="1:10" ht="18" customHeight="1">
      <c r="A19" s="12"/>
      <c r="B19" s="220" t="s">
        <v>22</v>
      </c>
      <c r="C19" s="220"/>
      <c r="D19" s="220"/>
      <c r="E19" s="59" t="s">
        <v>67</v>
      </c>
      <c r="F19" s="138" t="s">
        <v>19</v>
      </c>
      <c r="G19" s="135">
        <v>0.41</v>
      </c>
      <c r="H19" s="139">
        <v>552.2</v>
      </c>
      <c r="I19" s="137"/>
      <c r="J19" s="76">
        <f>H19+I19</f>
        <v>552.2</v>
      </c>
    </row>
    <row r="20" spans="1:10" ht="18" customHeight="1">
      <c r="A20" s="55"/>
      <c r="B20" s="224" t="s">
        <v>30</v>
      </c>
      <c r="C20" s="224"/>
      <c r="D20" s="224"/>
      <c r="E20" s="60" t="s">
        <v>9</v>
      </c>
      <c r="F20" s="140" t="s">
        <v>10</v>
      </c>
      <c r="G20" s="135">
        <v>0.54</v>
      </c>
      <c r="H20" s="136">
        <f>ROUND(G20*$E$3*5,2)</f>
        <v>7349.56</v>
      </c>
      <c r="I20" s="137"/>
      <c r="J20" s="54">
        <f>SUM(H20:I20)</f>
        <v>7349.56</v>
      </c>
    </row>
    <row r="21" spans="1:10" ht="52.5" customHeight="1">
      <c r="A21" s="12"/>
      <c r="B21" s="220" t="s">
        <v>26</v>
      </c>
      <c r="C21" s="220"/>
      <c r="D21" s="220"/>
      <c r="E21" s="59" t="s">
        <v>68</v>
      </c>
      <c r="F21" s="138" t="s">
        <v>24</v>
      </c>
      <c r="G21" s="135">
        <v>0.13</v>
      </c>
      <c r="H21" s="136">
        <v>2459.68</v>
      </c>
      <c r="I21" s="137"/>
      <c r="J21" s="76">
        <f>H21+I21</f>
        <v>2459.68</v>
      </c>
    </row>
    <row r="22" spans="1:10" ht="18" customHeight="1">
      <c r="A22" s="55"/>
      <c r="B22" s="220" t="s">
        <v>11</v>
      </c>
      <c r="C22" s="220"/>
      <c r="D22" s="220"/>
      <c r="E22" s="59" t="s">
        <v>9</v>
      </c>
      <c r="F22" s="138" t="s">
        <v>12</v>
      </c>
      <c r="G22" s="141">
        <v>0</v>
      </c>
      <c r="H22" s="136">
        <f>ROUND(G22*$E$3*5,2)</f>
        <v>0</v>
      </c>
      <c r="I22" s="136"/>
      <c r="J22" s="54">
        <f>SUM(H22:I22)</f>
        <v>0</v>
      </c>
    </row>
    <row r="23" spans="1:10" ht="18.75" customHeight="1">
      <c r="A23" s="55"/>
      <c r="B23" s="220" t="s">
        <v>25</v>
      </c>
      <c r="C23" s="213"/>
      <c r="D23" s="213"/>
      <c r="E23" s="61" t="s">
        <v>13</v>
      </c>
      <c r="F23" s="142" t="s">
        <v>14</v>
      </c>
      <c r="G23" s="135">
        <v>0.05</v>
      </c>
      <c r="H23" s="136">
        <v>1529.4</v>
      </c>
      <c r="I23" s="137"/>
      <c r="J23" s="76">
        <f>H23+I23</f>
        <v>1529.4</v>
      </c>
    </row>
    <row r="24" spans="1:10" ht="26.25" customHeight="1">
      <c r="A24" s="12"/>
      <c r="B24" s="220" t="s">
        <v>69</v>
      </c>
      <c r="C24" s="220"/>
      <c r="D24" s="220"/>
      <c r="E24" s="56" t="s">
        <v>34</v>
      </c>
      <c r="F24" s="62" t="s">
        <v>41</v>
      </c>
      <c r="G24" s="135">
        <v>1.63</v>
      </c>
      <c r="H24" s="136">
        <f>ROUND(G24*$E$3*5,2)</f>
        <v>22184.79</v>
      </c>
      <c r="I24" s="137"/>
      <c r="J24" s="54">
        <f aca="true" t="shared" si="0" ref="J24:J29">SUM(H24:I24)</f>
        <v>22184.79</v>
      </c>
    </row>
    <row r="25" spans="1:10" ht="39" customHeight="1">
      <c r="A25" s="12"/>
      <c r="B25" s="221" t="s">
        <v>15</v>
      </c>
      <c r="C25" s="221"/>
      <c r="D25" s="221"/>
      <c r="E25" s="56" t="s">
        <v>49</v>
      </c>
      <c r="F25" s="62" t="s">
        <v>41</v>
      </c>
      <c r="G25" s="135">
        <v>0.47</v>
      </c>
      <c r="H25" s="139">
        <v>5691.47</v>
      </c>
      <c r="I25" s="137"/>
      <c r="J25" s="143">
        <f>H25+I25</f>
        <v>5691.47</v>
      </c>
    </row>
    <row r="26" spans="1:10" ht="30" customHeight="1">
      <c r="A26" s="12"/>
      <c r="B26" s="222" t="s">
        <v>147</v>
      </c>
      <c r="C26" s="215"/>
      <c r="D26" s="216"/>
      <c r="E26" s="56" t="s">
        <v>34</v>
      </c>
      <c r="F26" s="62" t="s">
        <v>41</v>
      </c>
      <c r="G26" s="135">
        <f>4.32-G27-G28</f>
        <v>4.32</v>
      </c>
      <c r="H26" s="139">
        <f>ROUND(G26*$E$3*5,2)</f>
        <v>58796.5</v>
      </c>
      <c r="I26" s="144"/>
      <c r="J26" s="54">
        <f t="shared" si="0"/>
        <v>58796.5</v>
      </c>
    </row>
    <row r="27" spans="1:10" ht="26.25" customHeight="1">
      <c r="A27" s="55"/>
      <c r="B27" s="220" t="s">
        <v>70</v>
      </c>
      <c r="C27" s="220"/>
      <c r="D27" s="220"/>
      <c r="E27" s="56" t="s">
        <v>34</v>
      </c>
      <c r="F27" s="62" t="s">
        <v>41</v>
      </c>
      <c r="G27" s="141">
        <v>0</v>
      </c>
      <c r="H27" s="139">
        <f>ROUND(G27*$E$3*5,2)</f>
        <v>0</v>
      </c>
      <c r="I27" s="144"/>
      <c r="J27" s="54">
        <f t="shared" si="0"/>
        <v>0</v>
      </c>
    </row>
    <row r="28" spans="1:10" ht="18" customHeight="1">
      <c r="A28" s="12"/>
      <c r="B28" s="220" t="s">
        <v>71</v>
      </c>
      <c r="C28" s="220"/>
      <c r="D28" s="220"/>
      <c r="E28" s="59" t="s">
        <v>9</v>
      </c>
      <c r="F28" s="62" t="s">
        <v>41</v>
      </c>
      <c r="G28" s="141">
        <v>0</v>
      </c>
      <c r="H28" s="139">
        <f>ROUND(G28*$E$3*5,2)</f>
        <v>0</v>
      </c>
      <c r="I28" s="144"/>
      <c r="J28" s="54">
        <f t="shared" si="0"/>
        <v>0</v>
      </c>
    </row>
    <row r="29" spans="1:10" ht="29.25" customHeight="1">
      <c r="A29" s="12"/>
      <c r="B29" s="213" t="s">
        <v>20</v>
      </c>
      <c r="C29" s="213"/>
      <c r="D29" s="213"/>
      <c r="E29" s="56" t="s">
        <v>34</v>
      </c>
      <c r="F29" s="62" t="s">
        <v>41</v>
      </c>
      <c r="G29" s="135">
        <v>1.12</v>
      </c>
      <c r="H29" s="136">
        <f>ROUND(G29*$E$3*5,2)</f>
        <v>15243.54</v>
      </c>
      <c r="I29" s="137"/>
      <c r="J29" s="54">
        <f t="shared" si="0"/>
        <v>15243.54</v>
      </c>
    </row>
    <row r="30" spans="1:10" ht="18" customHeight="1" hidden="1">
      <c r="A30" s="12"/>
      <c r="B30" s="214" t="s">
        <v>72</v>
      </c>
      <c r="C30" s="215"/>
      <c r="D30" s="216"/>
      <c r="E30" s="59" t="s">
        <v>9</v>
      </c>
      <c r="F30" s="62"/>
      <c r="G30" s="142"/>
      <c r="H30" s="139"/>
      <c r="I30" s="53"/>
      <c r="J30" s="66"/>
    </row>
    <row r="31" spans="1:10" ht="26.25" customHeight="1" hidden="1">
      <c r="A31" s="12"/>
      <c r="B31" s="214" t="s">
        <v>73</v>
      </c>
      <c r="C31" s="215"/>
      <c r="D31" s="216"/>
      <c r="E31" s="56" t="s">
        <v>34</v>
      </c>
      <c r="F31" s="62"/>
      <c r="G31" s="142"/>
      <c r="H31" s="139"/>
      <c r="I31" s="53"/>
      <c r="J31" s="66"/>
    </row>
    <row r="32" spans="1:10" ht="15.75" hidden="1">
      <c r="A32" s="12"/>
      <c r="B32" s="217"/>
      <c r="C32" s="218"/>
      <c r="D32" s="219"/>
      <c r="E32" s="59"/>
      <c r="F32" s="62"/>
      <c r="G32" s="142"/>
      <c r="H32" s="139"/>
      <c r="I32" s="53"/>
      <c r="J32" s="66"/>
    </row>
    <row r="33" spans="1:10" ht="15.75">
      <c r="A33" s="12"/>
      <c r="B33" s="217"/>
      <c r="C33" s="218"/>
      <c r="D33" s="219"/>
      <c r="E33" s="59"/>
      <c r="F33" s="62"/>
      <c r="G33" s="142"/>
      <c r="H33" s="139"/>
      <c r="I33" s="53"/>
      <c r="J33" s="66"/>
    </row>
    <row r="34" spans="1:10" ht="19.5" customHeight="1">
      <c r="A34" s="12"/>
      <c r="B34" s="178" t="s">
        <v>29</v>
      </c>
      <c r="C34" s="178"/>
      <c r="D34" s="178"/>
      <c r="E34" s="7"/>
      <c r="F34" s="145"/>
      <c r="G34" s="10">
        <f>SUM(G17:G29)</f>
        <v>10.09</v>
      </c>
      <c r="H34" s="67">
        <f>SUM(H17:H33)</f>
        <v>133133.77000000002</v>
      </c>
      <c r="I34" s="67"/>
      <c r="J34" s="67">
        <f>SUM(J17:J33)</f>
        <v>133133.77000000002</v>
      </c>
    </row>
    <row r="35" spans="1:10" ht="19.5" customHeight="1" hidden="1">
      <c r="A35" s="12"/>
      <c r="B35" s="7"/>
      <c r="C35" s="7"/>
      <c r="D35" s="7"/>
      <c r="E35" s="7"/>
      <c r="F35" s="145"/>
      <c r="G35" s="10"/>
      <c r="H35" s="67"/>
      <c r="I35" s="67"/>
      <c r="J35" s="67"/>
    </row>
    <row r="36" spans="1:10" ht="19.5" customHeight="1" hidden="1">
      <c r="A36" s="12"/>
      <c r="B36" s="7"/>
      <c r="C36" s="7"/>
      <c r="D36" s="7"/>
      <c r="E36" s="7"/>
      <c r="F36" s="145"/>
      <c r="G36" s="10"/>
      <c r="H36" s="67"/>
      <c r="I36" s="67"/>
      <c r="J36" s="67"/>
    </row>
    <row r="37" spans="1:10" ht="19.5" customHeight="1" hidden="1">
      <c r="A37" s="12"/>
      <c r="B37" s="7"/>
      <c r="C37" s="7"/>
      <c r="D37" s="7"/>
      <c r="E37" s="7"/>
      <c r="F37" s="145"/>
      <c r="G37" s="10"/>
      <c r="H37" s="67"/>
      <c r="I37" s="67"/>
      <c r="J37" s="67"/>
    </row>
    <row r="38" spans="1:10" ht="18.75" customHeight="1">
      <c r="A38" s="12">
        <v>3</v>
      </c>
      <c r="B38" s="193" t="s">
        <v>36</v>
      </c>
      <c r="C38" s="193"/>
      <c r="D38" s="193"/>
      <c r="E38" s="154" t="s">
        <v>120</v>
      </c>
      <c r="F38" s="145" t="s">
        <v>41</v>
      </c>
      <c r="G38" s="13">
        <f>H38/E3/5</f>
        <v>13.135639919766646</v>
      </c>
      <c r="H38" s="146">
        <v>178780</v>
      </c>
      <c r="I38" s="147"/>
      <c r="J38" s="148">
        <f>H38+I38</f>
        <v>178780</v>
      </c>
    </row>
    <row r="39" spans="1:10" ht="18" customHeight="1">
      <c r="A39" s="14"/>
      <c r="B39" s="166" t="s">
        <v>40</v>
      </c>
      <c r="C39" s="166"/>
      <c r="D39" s="166"/>
      <c r="E39" s="166"/>
      <c r="F39" s="166"/>
      <c r="G39" s="10">
        <f>SUM(G34:G38)</f>
        <v>23.225639919766646</v>
      </c>
      <c r="H39" s="22">
        <f>SUM(H34:H38)</f>
        <v>311913.77</v>
      </c>
      <c r="I39" s="22"/>
      <c r="J39" s="22">
        <f>J34+J38</f>
        <v>311913.77</v>
      </c>
    </row>
    <row r="40" spans="1:10" ht="15.75">
      <c r="A40" s="12">
        <v>4</v>
      </c>
      <c r="B40" s="212" t="s">
        <v>160</v>
      </c>
      <c r="C40" s="212"/>
      <c r="D40" s="212"/>
      <c r="E40" s="154" t="s">
        <v>120</v>
      </c>
      <c r="F40" s="153"/>
      <c r="G40" s="71"/>
      <c r="H40" s="72">
        <v>108637</v>
      </c>
      <c r="I40" s="72"/>
      <c r="J40" s="73">
        <f>SUM(H40:I40)</f>
        <v>108637</v>
      </c>
    </row>
    <row r="41" spans="1:10" ht="16.5" customHeight="1">
      <c r="A41" s="14"/>
      <c r="B41" s="166" t="s">
        <v>76</v>
      </c>
      <c r="C41" s="166"/>
      <c r="D41" s="166"/>
      <c r="E41" s="166"/>
      <c r="F41" s="166"/>
      <c r="G41" s="10">
        <f>SUM(G39:G40)</f>
        <v>23.225639919766646</v>
      </c>
      <c r="H41" s="22">
        <f>SUM(H39:H40)</f>
        <v>420550.77</v>
      </c>
      <c r="I41" s="22"/>
      <c r="J41" s="22">
        <f>SUM(J39:J40)</f>
        <v>420550.77</v>
      </c>
    </row>
    <row r="42" spans="1:10" ht="15.75">
      <c r="A42" s="12">
        <v>5</v>
      </c>
      <c r="B42" s="211" t="s">
        <v>148</v>
      </c>
      <c r="C42" s="211"/>
      <c r="D42" s="211"/>
      <c r="E42" s="211"/>
      <c r="F42" s="211"/>
      <c r="G42" s="211"/>
      <c r="H42" s="149">
        <f>H14-H41</f>
        <v>-261435.88</v>
      </c>
      <c r="I42" s="136"/>
      <c r="J42" s="73">
        <f>J14-J41</f>
        <v>-261435.88</v>
      </c>
    </row>
    <row r="44" spans="2:5" ht="15.75">
      <c r="B44" s="43" t="s">
        <v>78</v>
      </c>
      <c r="C44" s="43"/>
      <c r="D44" s="43"/>
      <c r="E44" s="18"/>
    </row>
    <row r="45" spans="2:4" ht="15.75">
      <c r="B45" s="43"/>
      <c r="C45" s="43"/>
      <c r="D45" s="43"/>
    </row>
    <row r="46" spans="2:4" ht="15.75">
      <c r="B46" s="74" t="s">
        <v>149</v>
      </c>
      <c r="C46" s="74"/>
      <c r="D46" s="42"/>
    </row>
    <row r="47" spans="2:4" ht="15.75">
      <c r="B47" s="170" t="s">
        <v>79</v>
      </c>
      <c r="C47" s="170"/>
      <c r="D47" s="170"/>
    </row>
    <row r="49" ht="15.75">
      <c r="A49" t="s">
        <v>150</v>
      </c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33:D33"/>
    <mergeCell ref="B34:D34"/>
    <mergeCell ref="B39:F39"/>
    <mergeCell ref="B23:D23"/>
    <mergeCell ref="B24:D24"/>
    <mergeCell ref="B25:D25"/>
    <mergeCell ref="B26:D26"/>
    <mergeCell ref="B29:D29"/>
    <mergeCell ref="B30:D30"/>
    <mergeCell ref="B31:D31"/>
    <mergeCell ref="B32:D32"/>
    <mergeCell ref="B41:F41"/>
    <mergeCell ref="B42:G42"/>
    <mergeCell ref="B47:D47"/>
    <mergeCell ref="B38:D38"/>
    <mergeCell ref="B40:D40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Q7" sqref="Q7"/>
    </sheetView>
  </sheetViews>
  <sheetFormatPr defaultColWidth="9.00390625" defaultRowHeight="15.75"/>
  <cols>
    <col min="1" max="1" width="12.375" style="0" customWidth="1"/>
    <col min="2" max="2" width="14.625" style="0" customWidth="1"/>
    <col min="3" max="3" width="11.375" style="0" customWidth="1"/>
    <col min="4" max="4" width="9.875" style="0" bestFit="1" customWidth="1"/>
    <col min="5" max="6" width="11.25390625" style="0" customWidth="1"/>
    <col min="7" max="7" width="9.875" style="0" bestFit="1" customWidth="1"/>
    <col min="8" max="8" width="11.375" style="0" customWidth="1"/>
    <col min="9" max="9" width="10.625" style="0" customWidth="1"/>
    <col min="10" max="11" width="9.125" style="0" bestFit="1" customWidth="1"/>
    <col min="12" max="12" width="12.25390625" style="0" customWidth="1"/>
    <col min="13" max="13" width="12.375" style="0" customWidth="1"/>
    <col min="14" max="14" width="9.875" style="0" bestFit="1" customWidth="1"/>
    <col min="15" max="15" width="11.00390625" style="0" customWidth="1"/>
    <col min="16" max="16" width="10.875" style="0" customWidth="1"/>
    <col min="17" max="17" width="9.625" style="0" customWidth="1"/>
    <col min="18" max="18" width="11.125" style="0" customWidth="1"/>
    <col min="19" max="19" width="11.75390625" style="0" customWidth="1"/>
  </cols>
  <sheetData>
    <row r="1" spans="1:19" ht="81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5.75">
      <c r="A2" s="232" t="s">
        <v>154</v>
      </c>
      <c r="B2" s="231" t="s">
        <v>80</v>
      </c>
      <c r="C2" s="231" t="s">
        <v>81</v>
      </c>
      <c r="D2" s="231"/>
      <c r="E2" s="231"/>
      <c r="F2" s="231"/>
      <c r="G2" s="231"/>
      <c r="H2" s="231"/>
      <c r="I2" s="231"/>
      <c r="J2" s="238" t="s">
        <v>82</v>
      </c>
      <c r="K2" s="238"/>
      <c r="L2" s="238"/>
      <c r="M2" s="228" t="s">
        <v>83</v>
      </c>
      <c r="N2" s="231" t="s">
        <v>84</v>
      </c>
      <c r="O2" s="231"/>
      <c r="P2" s="231"/>
      <c r="Q2" s="231"/>
      <c r="R2" s="231"/>
      <c r="S2" s="233" t="s">
        <v>110</v>
      </c>
    </row>
    <row r="3" spans="1:19" ht="15.75">
      <c r="A3" s="231"/>
      <c r="B3" s="231"/>
      <c r="C3" s="239" t="s">
        <v>85</v>
      </c>
      <c r="D3" s="240"/>
      <c r="E3" s="241"/>
      <c r="F3" s="239" t="s">
        <v>86</v>
      </c>
      <c r="G3" s="240"/>
      <c r="H3" s="241"/>
      <c r="I3" s="232" t="s">
        <v>87</v>
      </c>
      <c r="J3" s="236" t="s">
        <v>88</v>
      </c>
      <c r="K3" s="234" t="s">
        <v>89</v>
      </c>
      <c r="L3" s="236" t="s">
        <v>90</v>
      </c>
      <c r="M3" s="229"/>
      <c r="N3" s="232" t="s">
        <v>91</v>
      </c>
      <c r="O3" s="231" t="s">
        <v>92</v>
      </c>
      <c r="P3" s="231" t="s">
        <v>93</v>
      </c>
      <c r="Q3" s="231" t="s">
        <v>94</v>
      </c>
      <c r="R3" s="231" t="s">
        <v>95</v>
      </c>
      <c r="S3" s="233"/>
    </row>
    <row r="4" spans="1:19" ht="28.5">
      <c r="A4" s="231"/>
      <c r="B4" s="231"/>
      <c r="C4" s="81" t="s">
        <v>96</v>
      </c>
      <c r="D4" s="82" t="s">
        <v>94</v>
      </c>
      <c r="E4" s="82" t="s">
        <v>95</v>
      </c>
      <c r="F4" s="81" t="s">
        <v>96</v>
      </c>
      <c r="G4" s="82" t="s">
        <v>94</v>
      </c>
      <c r="H4" s="82" t="s">
        <v>95</v>
      </c>
      <c r="I4" s="232"/>
      <c r="J4" s="237"/>
      <c r="K4" s="235"/>
      <c r="L4" s="237"/>
      <c r="M4" s="230"/>
      <c r="N4" s="231"/>
      <c r="O4" s="231"/>
      <c r="P4" s="231"/>
      <c r="Q4" s="231"/>
      <c r="R4" s="231"/>
      <c r="S4" s="233"/>
    </row>
    <row r="5" spans="1:19" ht="28.5">
      <c r="A5" s="82">
        <v>1</v>
      </c>
      <c r="B5" s="82">
        <v>2</v>
      </c>
      <c r="C5" s="81">
        <v>3</v>
      </c>
      <c r="D5" s="82">
        <v>4</v>
      </c>
      <c r="E5" s="82" t="s">
        <v>97</v>
      </c>
      <c r="F5" s="81">
        <v>6</v>
      </c>
      <c r="G5" s="82">
        <v>7</v>
      </c>
      <c r="H5" s="82" t="s">
        <v>98</v>
      </c>
      <c r="I5" s="81" t="s">
        <v>99</v>
      </c>
      <c r="J5" s="82">
        <v>10</v>
      </c>
      <c r="K5" s="82">
        <v>11</v>
      </c>
      <c r="L5" s="81">
        <v>12</v>
      </c>
      <c r="M5" s="81" t="s">
        <v>100</v>
      </c>
      <c r="N5" s="82">
        <v>14</v>
      </c>
      <c r="O5" s="81">
        <v>15</v>
      </c>
      <c r="P5" s="82">
        <v>16</v>
      </c>
      <c r="Q5" s="82">
        <v>17</v>
      </c>
      <c r="R5" s="81" t="s">
        <v>101</v>
      </c>
      <c r="S5" s="83" t="s">
        <v>102</v>
      </c>
    </row>
    <row r="6" spans="1:19" ht="15.75">
      <c r="A6" s="84">
        <v>-260587.55</v>
      </c>
      <c r="B6" s="85" t="s">
        <v>155</v>
      </c>
      <c r="C6" s="84">
        <v>138287.49</v>
      </c>
      <c r="D6" s="84">
        <v>8898.8</v>
      </c>
      <c r="E6" s="84">
        <f aca="true" t="shared" si="0" ref="E6:E12">SUM(C6:D6)</f>
        <v>147186.28999999998</v>
      </c>
      <c r="F6" s="84">
        <v>149732.73</v>
      </c>
      <c r="G6" s="84">
        <v>9382.16</v>
      </c>
      <c r="H6" s="84">
        <f aca="true" t="shared" si="1" ref="H6:H12">SUM(F6:G6)</f>
        <v>159114.89</v>
      </c>
      <c r="I6" s="86">
        <f aca="true" t="shared" si="2" ref="I6:I12">E6-H6</f>
        <v>-11928.600000000035</v>
      </c>
      <c r="J6" s="84">
        <v>0</v>
      </c>
      <c r="K6" s="84">
        <v>0</v>
      </c>
      <c r="L6" s="84">
        <v>0</v>
      </c>
      <c r="M6" s="84">
        <f aca="true" t="shared" si="3" ref="M6:M12">H6+J6+K6+L6</f>
        <v>159114.89</v>
      </c>
      <c r="N6" s="84">
        <f>'отчет 2012(08-12)'!J29</f>
        <v>15243.54</v>
      </c>
      <c r="O6" s="84">
        <f>'отчет 2012(08-12)'!J34-'отчет 2012(08-12)'!J29</f>
        <v>117890.23000000001</v>
      </c>
      <c r="P6" s="84">
        <f>'отчет 2012(08-12)'!J38</f>
        <v>178780</v>
      </c>
      <c r="Q6" s="86">
        <f>'отчет 2012(08-12)'!J40</f>
        <v>108637</v>
      </c>
      <c r="R6" s="84">
        <f aca="true" t="shared" si="4" ref="R6:R12">SUM(N6:Q6)</f>
        <v>420550.77</v>
      </c>
      <c r="S6" s="84">
        <f aca="true" t="shared" si="5" ref="S6:S11">M6-R6</f>
        <v>-261435.88</v>
      </c>
    </row>
    <row r="7" spans="1:19" ht="15.75">
      <c r="A7" s="84"/>
      <c r="B7" s="85"/>
      <c r="C7" s="84"/>
      <c r="D7" s="84"/>
      <c r="E7" s="84">
        <f t="shared" si="0"/>
        <v>0</v>
      </c>
      <c r="F7" s="84"/>
      <c r="G7" s="84"/>
      <c r="H7" s="84">
        <f t="shared" si="1"/>
        <v>0</v>
      </c>
      <c r="I7" s="86">
        <f t="shared" si="2"/>
        <v>0</v>
      </c>
      <c r="J7" s="84"/>
      <c r="K7" s="84"/>
      <c r="L7" s="84"/>
      <c r="M7" s="84">
        <f t="shared" si="3"/>
        <v>0</v>
      </c>
      <c r="N7" s="84"/>
      <c r="O7" s="84"/>
      <c r="P7" s="84"/>
      <c r="Q7" s="86"/>
      <c r="R7" s="84">
        <f t="shared" si="4"/>
        <v>0</v>
      </c>
      <c r="S7" s="84">
        <f t="shared" si="5"/>
        <v>0</v>
      </c>
    </row>
    <row r="8" spans="1:19" ht="15.75">
      <c r="A8" s="84"/>
      <c r="B8" s="85"/>
      <c r="C8" s="84"/>
      <c r="D8" s="84"/>
      <c r="E8" s="84">
        <f t="shared" si="0"/>
        <v>0</v>
      </c>
      <c r="F8" s="84"/>
      <c r="G8" s="84"/>
      <c r="H8" s="84">
        <f t="shared" si="1"/>
        <v>0</v>
      </c>
      <c r="I8" s="86">
        <f t="shared" si="2"/>
        <v>0</v>
      </c>
      <c r="J8" s="84"/>
      <c r="K8" s="84"/>
      <c r="L8" s="84"/>
      <c r="M8" s="84">
        <f t="shared" si="3"/>
        <v>0</v>
      </c>
      <c r="N8" s="84"/>
      <c r="O8" s="84"/>
      <c r="P8" s="84"/>
      <c r="Q8" s="86"/>
      <c r="R8" s="84">
        <f t="shared" si="4"/>
        <v>0</v>
      </c>
      <c r="S8" s="84">
        <f t="shared" si="5"/>
        <v>0</v>
      </c>
    </row>
    <row r="9" spans="1:19" ht="15.75">
      <c r="A9" s="84"/>
      <c r="B9" s="85"/>
      <c r="C9" s="84"/>
      <c r="D9" s="84"/>
      <c r="E9" s="84">
        <f t="shared" si="0"/>
        <v>0</v>
      </c>
      <c r="F9" s="84"/>
      <c r="G9" s="84"/>
      <c r="H9" s="84">
        <f t="shared" si="1"/>
        <v>0</v>
      </c>
      <c r="I9" s="86">
        <f t="shared" si="2"/>
        <v>0</v>
      </c>
      <c r="J9" s="84"/>
      <c r="K9" s="84"/>
      <c r="L9" s="84"/>
      <c r="M9" s="84">
        <f t="shared" si="3"/>
        <v>0</v>
      </c>
      <c r="N9" s="84"/>
      <c r="O9" s="84"/>
      <c r="P9" s="84"/>
      <c r="Q9" s="90"/>
      <c r="R9" s="84">
        <f t="shared" si="4"/>
        <v>0</v>
      </c>
      <c r="S9" s="84">
        <f t="shared" si="5"/>
        <v>0</v>
      </c>
    </row>
    <row r="10" spans="1:19" ht="15.75">
      <c r="A10" s="84"/>
      <c r="B10" s="85"/>
      <c r="C10" s="84"/>
      <c r="D10" s="84"/>
      <c r="E10" s="84">
        <f t="shared" si="0"/>
        <v>0</v>
      </c>
      <c r="F10" s="84"/>
      <c r="G10" s="84"/>
      <c r="H10" s="84">
        <f t="shared" si="1"/>
        <v>0</v>
      </c>
      <c r="I10" s="86">
        <f t="shared" si="2"/>
        <v>0</v>
      </c>
      <c r="J10" s="84"/>
      <c r="K10" s="84"/>
      <c r="L10" s="84"/>
      <c r="M10" s="84">
        <f t="shared" si="3"/>
        <v>0</v>
      </c>
      <c r="N10" s="84"/>
      <c r="O10" s="84"/>
      <c r="P10" s="87"/>
      <c r="Q10" s="87"/>
      <c r="R10" s="84">
        <f t="shared" si="4"/>
        <v>0</v>
      </c>
      <c r="S10" s="84">
        <f t="shared" si="5"/>
        <v>0</v>
      </c>
    </row>
    <row r="11" spans="1:19" ht="15.75">
      <c r="A11" s="84"/>
      <c r="B11" s="85"/>
      <c r="C11" s="84"/>
      <c r="D11" s="84"/>
      <c r="E11" s="84">
        <f t="shared" si="0"/>
        <v>0</v>
      </c>
      <c r="F11" s="84"/>
      <c r="G11" s="84"/>
      <c r="H11" s="84">
        <f t="shared" si="1"/>
        <v>0</v>
      </c>
      <c r="I11" s="86">
        <f t="shared" si="2"/>
        <v>0</v>
      </c>
      <c r="J11" s="84"/>
      <c r="K11" s="84"/>
      <c r="L11" s="84"/>
      <c r="M11" s="84">
        <f t="shared" si="3"/>
        <v>0</v>
      </c>
      <c r="N11" s="84"/>
      <c r="O11" s="84"/>
      <c r="P11" s="87"/>
      <c r="Q11" s="87"/>
      <c r="R11" s="84">
        <f t="shared" si="4"/>
        <v>0</v>
      </c>
      <c r="S11" s="84">
        <f t="shared" si="5"/>
        <v>0</v>
      </c>
    </row>
    <row r="12" spans="1:19" ht="15.75">
      <c r="A12" s="84" t="s">
        <v>104</v>
      </c>
      <c r="B12" s="85" t="s">
        <v>103</v>
      </c>
      <c r="C12" s="88">
        <f>SUM(C6:C11)</f>
        <v>138287.49</v>
      </c>
      <c r="D12" s="88">
        <f>SUM(D6:D11)</f>
        <v>8898.8</v>
      </c>
      <c r="E12" s="88">
        <f t="shared" si="0"/>
        <v>147186.28999999998</v>
      </c>
      <c r="F12" s="88">
        <f>SUM(F6:F11)</f>
        <v>149732.73</v>
      </c>
      <c r="G12" s="88">
        <f>SUM(G6:G11)</f>
        <v>9382.16</v>
      </c>
      <c r="H12" s="88">
        <f t="shared" si="1"/>
        <v>159114.89</v>
      </c>
      <c r="I12" s="89">
        <f t="shared" si="2"/>
        <v>-11928.600000000035</v>
      </c>
      <c r="J12" s="88">
        <f>SUM(J6:J11)</f>
        <v>0</v>
      </c>
      <c r="K12" s="88">
        <f>SUM(K6:K11)</f>
        <v>0</v>
      </c>
      <c r="L12" s="88">
        <f>SUM(L6:L11)</f>
        <v>0</v>
      </c>
      <c r="M12" s="88">
        <f t="shared" si="3"/>
        <v>159114.89</v>
      </c>
      <c r="N12" s="88">
        <f>SUM(N6:N11)</f>
        <v>15243.54</v>
      </c>
      <c r="O12" s="88">
        <f>SUM(O6:O11)</f>
        <v>117890.23000000001</v>
      </c>
      <c r="P12" s="88">
        <f>SUM(P6:P11)</f>
        <v>178780</v>
      </c>
      <c r="Q12" s="88">
        <f>SUM(Q6:Q11)</f>
        <v>108637</v>
      </c>
      <c r="R12" s="88">
        <f t="shared" si="4"/>
        <v>420550.77</v>
      </c>
      <c r="S12" s="84">
        <f>SUM(S6:S11)+A6</f>
        <v>-522023.43</v>
      </c>
    </row>
    <row r="14" spans="2:9" ht="18.75">
      <c r="B14" s="226" t="s">
        <v>156</v>
      </c>
      <c r="C14" s="226"/>
      <c r="D14" s="226"/>
      <c r="E14" s="226"/>
      <c r="F14" s="226" t="s">
        <v>157</v>
      </c>
      <c r="G14" s="226"/>
      <c r="H14" s="226"/>
      <c r="I14" s="226"/>
    </row>
    <row r="15" spans="2:18" ht="18.75">
      <c r="B15" s="150"/>
      <c r="C15" s="150"/>
      <c r="D15" s="150"/>
      <c r="E15" s="150"/>
      <c r="F15" s="150"/>
      <c r="G15" s="150"/>
      <c r="H15" s="150"/>
      <c r="I15" s="150"/>
      <c r="R15" t="s">
        <v>104</v>
      </c>
    </row>
    <row r="16" spans="2:9" ht="18.75">
      <c r="B16" s="151" t="s">
        <v>158</v>
      </c>
      <c r="C16" s="152"/>
      <c r="D16" s="152"/>
      <c r="E16" s="152"/>
      <c r="F16" s="226" t="s">
        <v>159</v>
      </c>
      <c r="G16" s="226"/>
      <c r="H16" s="226"/>
      <c r="I16" s="152"/>
    </row>
    <row r="18" ht="15.75">
      <c r="A18" t="s">
        <v>150</v>
      </c>
    </row>
  </sheetData>
  <sheetProtection/>
  <mergeCells count="22">
    <mergeCell ref="I3:I4"/>
    <mergeCell ref="J3:J4"/>
    <mergeCell ref="C2:I2"/>
    <mergeCell ref="J2:L2"/>
    <mergeCell ref="C3:E3"/>
    <mergeCell ref="F3:H3"/>
    <mergeCell ref="S2:S4"/>
    <mergeCell ref="P3:P4"/>
    <mergeCell ref="K3:K4"/>
    <mergeCell ref="L3:L4"/>
    <mergeCell ref="N3:N4"/>
    <mergeCell ref="O3:O4"/>
    <mergeCell ref="B14:E14"/>
    <mergeCell ref="F14:I14"/>
    <mergeCell ref="F16:H16"/>
    <mergeCell ref="A1:S1"/>
    <mergeCell ref="M2:M4"/>
    <mergeCell ref="N2:R2"/>
    <mergeCell ref="Q3:Q4"/>
    <mergeCell ref="R3:R4"/>
    <mergeCell ref="A2:A4"/>
    <mergeCell ref="B2:B4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2013-03-15T10:01:48Z</cp:lastPrinted>
  <dcterms:created xsi:type="dcterms:W3CDTF">2009-08-26T03:25:10Z</dcterms:created>
  <dcterms:modified xsi:type="dcterms:W3CDTF">2013-05-08T03:41:00Z</dcterms:modified>
  <cp:category/>
  <cp:version/>
  <cp:contentType/>
  <cp:contentStatus/>
</cp:coreProperties>
</file>