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4" activeTab="4"/>
  </bookViews>
  <sheets>
    <sheet name="отчет 2011" sheetId="1" state="hidden" r:id="rId1"/>
    <sheet name="план 2012" sheetId="2" state="hidden" r:id="rId2"/>
    <sheet name="08.12" sheetId="3" state="hidden" r:id="rId3"/>
    <sheet name="план 2013" sheetId="4" state="hidden" r:id="rId4"/>
    <sheet name="отчет 2012(08-12)" sheetId="5" r:id="rId5"/>
    <sheet name="накопит отчет" sheetId="6" state="hidden" r:id="rId6"/>
  </sheets>
  <definedNames/>
  <calcPr fullCalcOnLoad="1"/>
</workbook>
</file>

<file path=xl/sharedStrings.xml><?xml version="1.0" encoding="utf-8"?>
<sst xmlns="http://schemas.openxmlformats.org/spreadsheetml/2006/main" count="436" uniqueCount="163">
  <si>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</si>
  <si>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</si>
  <si>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</si>
  <si>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</si>
  <si>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</si>
  <si>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</si>
  <si>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</si>
  <si>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</si>
  <si>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</si>
  <si>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</si>
  <si>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</si>
  <si>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</si>
  <si>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</si>
  <si>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</si>
  <si>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</si>
  <si>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</si>
  <si>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</si>
  <si>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</si>
  <si>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</si>
  <si>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</si>
  <si>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</si>
  <si>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</si>
  <si>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</si>
  <si>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</si>
  <si>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</si>
  <si>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</si>
  <si>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</si>
  <si>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</si>
  <si>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</si>
  <si>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</si>
  <si>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</si>
  <si>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</si>
  <si>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</si>
  <si>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</si>
  <si>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</si>
  <si>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</si>
  <si>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</si>
  <si>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</si>
  <si>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</si>
  <si>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</si>
  <si>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</si>
  <si>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3"</t>
  </si>
  <si>
    <t>Адрес: ул. Горького, 43</t>
  </si>
  <si>
    <t>Тариф 
на 
1 кв.м.
руб.</t>
  </si>
  <si>
    <t>Стоимость работ
руб.</t>
  </si>
  <si>
    <t>Расчеты с населением по планируемому тарифу</t>
  </si>
  <si>
    <t xml:space="preserve"> - начислено за содержание и текущий ремонт общего имущества жилого дома 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</si>
  <si>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</si>
  <si>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</si>
  <si>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</si>
  <si>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3"</t>
  </si>
  <si>
    <t xml:space="preserve">Капитальный ремонт </t>
  </si>
  <si>
    <t>2.</t>
  </si>
  <si>
    <t>кв.м</t>
  </si>
  <si>
    <t xml:space="preserve">S нежилых </t>
  </si>
  <si>
    <t xml:space="preserve">помещений, 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</si>
  <si>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</si>
  <si>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</si>
  <si>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</si>
  <si>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</si>
  <si>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</si>
  <si>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</si>
  <si>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</si>
  <si>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</si>
  <si>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</si>
  <si>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(антены)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</si>
  <si>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</si>
  <si>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</si>
  <si>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</si>
  <si>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</si>
  <si>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</si>
  <si>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</si>
  <si>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</si>
  <si>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</si>
  <si>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</si>
  <si>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</si>
  <si>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</si>
  <si>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 xml:space="preserve">Директор ООО "ОЖКС № 3"                                               Т.И. Плотникова                         </t>
  </si>
  <si>
    <t>Претензий по управлению нет (да)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</si>
  <si>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</si>
  <si>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</si>
  <si>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</si>
  <si>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</si>
  <si>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</si>
  <si>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</si>
  <si>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</si>
  <si>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</si>
  <si>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</si>
  <si>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</si>
  <si>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</si>
  <si>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</si>
  <si>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</si>
  <si>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</si>
  <si>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</si>
  <si>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</si>
  <si>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</si>
  <si>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</si>
  <si>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</si>
  <si>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</si>
  <si>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</si>
  <si>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</si>
  <si>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</si>
  <si>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Итого:</t>
  </si>
  <si>
    <t xml:space="preserve"> </t>
  </si>
  <si>
    <t>ОТЧЕТ
за  2011 г. о выполнении условий  договора управления МКД № 273/3 от 28.03.2008 г., 
заключенного между ООО "ОЖКС № 3" и собственниками многоквартирного дома
по адресу: ул. Горького, 43</t>
  </si>
  <si>
    <t xml:space="preserve">       Представитель собственников- старший по дому _________________, с одной стороны и Общество с Ограниченной 
Ответственностью "Октябрьский Жилкомсервис № 3" в лице директора Плотниковой Т.И., действующей на основании Устава,  
с другой стороны, составили настоящий отчет о выполненных работах  в  2011г.      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</si>
  <si>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  <r>
      <rPr>
        <sz val="12"/>
        <color indexed="10"/>
        <rFont val="Times New Roman"/>
        <family val="1"/>
      </rPr>
      <t xml:space="preserve"> </t>
    </r>
  </si>
  <si>
    <t xml:space="preserve">Финансовый результат за 2011г. (+ экономия,- перерасход)                                                      </t>
  </si>
  <si>
    <t>Принято: Старший по дому                                                  __________________</t>
  </si>
  <si>
    <t>результат
 за год
(+эконом., 
-перерасх.)</t>
  </si>
  <si>
    <t xml:space="preserve">  Приложение №7 к Договору 
на оказание услуг и  выполнение работ      
по содержанию, текущему и капитальному ремонту
     общего имущества МКД №_____ от "____"________2012г.</t>
  </si>
  <si>
    <t>Расчет стоимости договора и тарифа 1 м2 на 2012 г.</t>
  </si>
  <si>
    <t>подметание асфальта -   1 раз/неделю,                
подбор мусора - ежедневно</t>
  </si>
  <si>
    <t>по плану работ</t>
  </si>
  <si>
    <t>* в случае уточнения площадей возможно изменение стоимости</t>
  </si>
  <si>
    <t xml:space="preserve">Директор ООО "ОЖКС № 3"                                                                       </t>
  </si>
  <si>
    <t xml:space="preserve">           Представитель собственников</t>
  </si>
  <si>
    <t>________________ Т.И. Плотникова</t>
  </si>
  <si>
    <t xml:space="preserve">            ________________________</t>
  </si>
  <si>
    <t>Тариф с 1 августа 2012 г. - 11,21 руб., капитальный ремонт - 0,80 руб.</t>
  </si>
  <si>
    <t>5=гр.4*Sдома*5мес.</t>
  </si>
  <si>
    <t>59, 1 нежилое помещение</t>
  </si>
  <si>
    <t>1.2.</t>
  </si>
  <si>
    <t>1.3.</t>
  </si>
  <si>
    <t>Тариф 
на 
1 кв.м. август-декабрь 2012г.
руб.</t>
  </si>
  <si>
    <t>Стоимость работ
август-декабрь 2012г.                      руб.</t>
  </si>
  <si>
    <t>Смета доходов и расходов  на  2012 г.
согласно договора управления МКД № 273/3 от 28.03.2008г., заключенного 
между ООО "ОЖКС № 3" и собственниками многоквартирного дома</t>
  </si>
  <si>
    <t>Справочно:   индекс увеличения тарифа по году 103%</t>
  </si>
  <si>
    <t>- с 1 января 2012 г. тариф остается на уровне 2011 г.</t>
  </si>
  <si>
    <t>- с 1 июля 2012г.к тарифу применен индекс 106%</t>
  </si>
  <si>
    <t xml:space="preserve">Директор ООО "ОЖКС № 3"                                               Т.И. Плотникова          </t>
  </si>
  <si>
    <t>Тариф на 
1 кв.м.с 01.01.13г. по 30.06.13г.
руб.</t>
  </si>
  <si>
    <t>Тариф на 
1 кв.м.с 01.07.13г. по 31.12.13г.
руб.</t>
  </si>
  <si>
    <t>Стоимость работ январь-декабрь 2013г.
руб.</t>
  </si>
  <si>
    <t>6=(гр.4*Sдома*6мес)+(гр.5*Sдома*6мес)</t>
  </si>
  <si>
    <t>Дворовое освещение</t>
  </si>
  <si>
    <t>Сбор, вывоз  бытового мусора</t>
  </si>
  <si>
    <t xml:space="preserve">Управление 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</si>
  <si>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</si>
  <si>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 xml:space="preserve"> - ожидаемый сбор на содержание и текущий ремонт общего имущества жилого дома</t>
  </si>
  <si>
    <t xml:space="preserve">Директор ООО "ОЖКС № 3" _________________________________Т.И. Плотникова          </t>
  </si>
  <si>
    <t>S жилых и нежилых помещений.,кв.м</t>
  </si>
  <si>
    <t>Смета доходов и расходов  на  2013 г.
согласно договора на оказание услуг МКД № 32/3 от 12.07.2012г., заключенного 
между ООО "ОЖКС № 3" и собственниками многоквартирного домапо адресу ул. Горького, 43</t>
  </si>
  <si>
    <t xml:space="preserve">        Совет МКД в лице_______________, действующего на основании Устава с одной стороны и Общество с Ограниченной Ответственностью "Октябрьский Жилкомсервис № 3" в лице директора Плотниковой Т.И., действующей на основании Устава,  с другой стороны, составили настоящий отчет о выполненных работах  с 01.08.12г. по 31.12. 2012г.      </t>
  </si>
  <si>
    <t>S жилых и нежилых помещений, кв.м</t>
  </si>
  <si>
    <t>Тариф 01.08.12г-31.12.12г</t>
  </si>
  <si>
    <t>Сумма 01.08.12-31.12.12г, руб.</t>
  </si>
  <si>
    <t xml:space="preserve"> - прочие доходы </t>
  </si>
  <si>
    <r>
      <t xml:space="preserve">Сбор, вывоз  бытового мусора, содержание  </t>
    </r>
    <r>
      <rPr>
        <sz val="12"/>
        <rFont val="Times New Roman"/>
        <family val="1"/>
      </rPr>
      <t xml:space="preserve">контейнерных площадок </t>
    </r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</si>
  <si>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</si>
  <si>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Финансовый результат с 01.08.12г по 31.12.2012г. (+ экономия,- перерасход)                                                      </t>
  </si>
  <si>
    <t>Принято: совет МКД                                          ___________________</t>
  </si>
  <si>
    <t>Исполнитель О.В. Калинина</t>
  </si>
  <si>
    <t>ОТЧЕТ
с 01.08.12г. по 31.12 2012г.. согласно договора на оказание услуг МКД №   32/3 от 12.07.2012г., 
заключенного между ООО "ОЖКС № 3" и  собственники многоквартирного дома
по адресу:  ул. Горького, 43</t>
  </si>
  <si>
    <t>ОТЧЕТ
по  договору на оказание услуг  МКД № 32/3 от 12.07.2012 г., заключенного между ООО "ОЖКС № 3" 
и собственниками многоквартирного дома по адресу:  ул. Горького,43</t>
  </si>
  <si>
    <t>Сальдо
 на 01.08
+экономия
-перерасход</t>
  </si>
  <si>
    <t>за 5 мес. 2012г.</t>
  </si>
  <si>
    <t xml:space="preserve">Директор ООО "ОЖКС № 3"                                 </t>
  </si>
  <si>
    <t xml:space="preserve">____________ Т.И. Плотникова                              </t>
  </si>
  <si>
    <t>Совет МКД</t>
  </si>
  <si>
    <t>_______________/___________/</t>
  </si>
  <si>
    <t xml:space="preserve"> Текущий ремонт общего имущества </t>
  </si>
  <si>
    <t>Капитальный ремонт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</si>
</sst>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</numFmts>
  <fonts count="32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0"/>
    </font>
    <font>
      <sz val="11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2" fillId="0" borderId="17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24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2" fontId="2" fillId="25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25" borderId="10" xfId="0" applyNumberForma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2" fillId="0" borderId="25" xfId="0" applyNumberFormat="1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170" fontId="0" fillId="0" borderId="10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70" fontId="6" fillId="0" borderId="21" xfId="0" applyNumberFormat="1" applyFont="1" applyBorder="1" applyAlignment="1">
      <alignment horizontal="center" vertical="center" wrapText="1"/>
    </xf>
    <xf numFmtId="170" fontId="6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4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25" borderId="10" xfId="0" applyNumberFormat="1" applyFont="1" applyFill="1" applyBorder="1" applyAlignment="1">
      <alignment horizontal="center"/>
    </xf>
    <xf numFmtId="0" fontId="14" fillId="24" borderId="0" xfId="0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24" borderId="18" xfId="0" applyFont="1" applyFill="1" applyBorder="1" applyAlignment="1">
      <alignment vertical="center" wrapText="1"/>
    </xf>
    <xf numFmtId="0" fontId="0" fillId="24" borderId="20" xfId="0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 shrinkToFit="1"/>
    </xf>
    <xf numFmtId="0" fontId="5" fillId="0" borderId="3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3">
      <selection activeCell="B39" sqref="B39:F39"/>
    </sheetView>
  </sheetViews>
  <sheetFormatPr defaultColWidth="9.00390625" defaultRowHeight="15.75"/>
  <cols>
    <col min="1" max="1" width="8.125" style="0" customWidth="1"/>
    <col min="2" max="2" width="26.25390625" style="0" customWidth="1"/>
    <col min="3" max="3" width="4.25390625" style="0" customWidth="1"/>
    <col min="4" max="4" width="24.875" style="0" customWidth="1"/>
    <col min="5" max="5" width="16.125" style="0" customWidth="1"/>
    <col min="6" max="6" width="16.00390625" style="0" hidden="1" customWidth="1"/>
    <col min="7" max="7" width="0.12890625" style="0" customWidth="1"/>
    <col min="8" max="8" width="10.375" style="0" customWidth="1"/>
    <col min="9" max="9" width="12.00390625" style="0" customWidth="1"/>
    <col min="10" max="10" width="11.125" style="0" customWidth="1"/>
  </cols>
  <sheetData>
    <row r="1" spans="1:10" ht="78" customHeight="1">
      <c r="A1" s="190" t="s">
        <v>104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51" customHeight="1">
      <c r="A2" s="191" t="s">
        <v>105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9" ht="18.75">
      <c r="A3" s="1"/>
      <c r="B3" s="1" t="s">
        <v>42</v>
      </c>
      <c r="C3" s="2"/>
      <c r="D3" s="2" t="s">
        <v>0</v>
      </c>
      <c r="E3" s="14">
        <v>2662.1</v>
      </c>
      <c r="G3" s="43"/>
      <c r="H3" s="43"/>
      <c r="I3" s="43">
        <v>550.8</v>
      </c>
    </row>
    <row r="4" spans="2:9" ht="15.75">
      <c r="B4" s="3" t="s">
        <v>1</v>
      </c>
      <c r="C4" s="18">
        <v>5</v>
      </c>
      <c r="D4" s="2" t="s">
        <v>2</v>
      </c>
      <c r="E4" s="15">
        <v>59</v>
      </c>
      <c r="I4" t="s">
        <v>53</v>
      </c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 t="s">
        <v>54</v>
      </c>
    </row>
    <row r="6" spans="2:9" ht="15.75">
      <c r="B6" s="3"/>
      <c r="C6" s="4"/>
      <c r="D6" s="2" t="s">
        <v>5</v>
      </c>
      <c r="E6" s="2" t="s">
        <v>16</v>
      </c>
      <c r="F6" s="2"/>
      <c r="I6" t="s">
        <v>55</v>
      </c>
    </row>
    <row r="7" spans="1:10" ht="54" customHeight="1">
      <c r="A7" s="6" t="s">
        <v>37</v>
      </c>
      <c r="B7" s="192" t="s">
        <v>56</v>
      </c>
      <c r="C7" s="193"/>
      <c r="D7" s="194"/>
      <c r="E7" s="6" t="s">
        <v>6</v>
      </c>
      <c r="F7" s="6" t="s">
        <v>7</v>
      </c>
      <c r="G7" s="45" t="s">
        <v>21</v>
      </c>
      <c r="H7" s="195" t="s">
        <v>57</v>
      </c>
      <c r="I7" s="196"/>
      <c r="J7" s="197"/>
    </row>
    <row r="8" spans="1:10" ht="15.75">
      <c r="A8" s="11">
        <v>1</v>
      </c>
      <c r="B8" s="198"/>
      <c r="C8" s="199"/>
      <c r="D8" s="199"/>
      <c r="E8" s="199"/>
      <c r="F8" s="200"/>
      <c r="G8" s="46"/>
      <c r="H8" s="47" t="s">
        <v>58</v>
      </c>
      <c r="I8" s="48" t="s">
        <v>59</v>
      </c>
      <c r="J8" s="48" t="s">
        <v>60</v>
      </c>
    </row>
    <row r="9" spans="1:10" ht="15.75">
      <c r="A9" s="11"/>
      <c r="B9" s="198" t="s">
        <v>61</v>
      </c>
      <c r="C9" s="199"/>
      <c r="D9" s="199"/>
      <c r="E9" s="199"/>
      <c r="F9" s="200"/>
      <c r="G9" s="49"/>
      <c r="H9" s="49"/>
      <c r="I9" s="37"/>
      <c r="J9" s="48"/>
    </row>
    <row r="10" spans="1:10" ht="15.75" customHeight="1">
      <c r="A10" s="50"/>
      <c r="B10" s="178" t="s">
        <v>62</v>
      </c>
      <c r="C10" s="179"/>
      <c r="D10" s="179"/>
      <c r="E10" s="179"/>
      <c r="F10" s="180"/>
      <c r="G10" s="8"/>
      <c r="H10" s="16">
        <v>317560.07</v>
      </c>
      <c r="I10" s="27"/>
      <c r="J10" s="38">
        <f>H10+I10</f>
        <v>317560.07</v>
      </c>
    </row>
    <row r="11" spans="1:10" ht="15.75" customHeight="1">
      <c r="A11" s="50"/>
      <c r="B11" s="178" t="s">
        <v>63</v>
      </c>
      <c r="C11" s="179"/>
      <c r="D11" s="179"/>
      <c r="E11" s="179"/>
      <c r="F11" s="180"/>
      <c r="G11" s="8"/>
      <c r="H11" s="73">
        <v>18524.3</v>
      </c>
      <c r="I11" s="27"/>
      <c r="J11" s="38">
        <f>H11+I11</f>
        <v>18524.3</v>
      </c>
    </row>
    <row r="12" spans="1:10" ht="15.75" customHeight="1">
      <c r="A12" s="11"/>
      <c r="B12" s="178" t="s">
        <v>64</v>
      </c>
      <c r="C12" s="179"/>
      <c r="D12" s="179"/>
      <c r="E12" s="179"/>
      <c r="F12" s="180"/>
      <c r="G12" s="8"/>
      <c r="H12" s="51"/>
      <c r="I12" s="40">
        <v>41558.32</v>
      </c>
      <c r="J12" s="38">
        <f>H12+I12</f>
        <v>41558.32</v>
      </c>
    </row>
    <row r="13" spans="1:10" ht="15.75">
      <c r="A13" s="11"/>
      <c r="B13" s="178" t="s">
        <v>65</v>
      </c>
      <c r="C13" s="179"/>
      <c r="D13" s="179"/>
      <c r="E13" s="179"/>
      <c r="F13" s="180"/>
      <c r="G13" s="8"/>
      <c r="H13" s="51"/>
      <c r="I13" s="52">
        <v>0</v>
      </c>
      <c r="J13" s="38">
        <f>H13+I13</f>
        <v>0</v>
      </c>
    </row>
    <row r="14" spans="1:10" ht="15.75">
      <c r="A14" s="11"/>
      <c r="B14" s="184" t="s">
        <v>66</v>
      </c>
      <c r="C14" s="185"/>
      <c r="D14" s="185"/>
      <c r="E14" s="185"/>
      <c r="F14" s="186"/>
      <c r="G14" s="8"/>
      <c r="H14" s="19">
        <f>SUM(H10:H12)</f>
        <v>336084.37</v>
      </c>
      <c r="I14" s="53">
        <f>SUM(I12:I13)</f>
        <v>41558.32</v>
      </c>
      <c r="J14" s="70">
        <f>SUM(J10:J13)</f>
        <v>377642.69</v>
      </c>
    </row>
    <row r="15" spans="1:10" ht="18.75" customHeight="1">
      <c r="A15" s="11">
        <v>2</v>
      </c>
      <c r="B15" s="187" t="s">
        <v>38</v>
      </c>
      <c r="C15" s="188"/>
      <c r="D15" s="188"/>
      <c r="E15" s="188"/>
      <c r="F15" s="189"/>
      <c r="G15" s="8"/>
      <c r="H15" s="51"/>
      <c r="I15" s="27"/>
      <c r="J15" s="39"/>
    </row>
    <row r="16" spans="1:10" ht="15.75">
      <c r="A16" s="11"/>
      <c r="B16" s="9" t="s">
        <v>39</v>
      </c>
      <c r="C16" s="9"/>
      <c r="D16" s="9"/>
      <c r="E16" s="9"/>
      <c r="F16" s="5"/>
      <c r="G16" s="47"/>
      <c r="H16" s="47"/>
      <c r="I16" s="44"/>
      <c r="J16" s="48"/>
    </row>
    <row r="17" spans="1:10" ht="30" customHeight="1">
      <c r="A17" s="54"/>
      <c r="B17" s="181" t="s">
        <v>106</v>
      </c>
      <c r="C17" s="182"/>
      <c r="D17" s="183"/>
      <c r="E17" s="55" t="s">
        <v>31</v>
      </c>
      <c r="F17" s="31" t="s">
        <v>23</v>
      </c>
      <c r="G17" s="32">
        <v>1.06</v>
      </c>
      <c r="H17" s="56">
        <f>ROUND(G17*$E$3*12,2)</f>
        <v>33861.91</v>
      </c>
      <c r="I17" s="74">
        <f>$I$12*0.08</f>
        <v>3324.6656000000003</v>
      </c>
      <c r="J17" s="53">
        <f>SUM(H17:I17)</f>
        <v>37186.575600000004</v>
      </c>
    </row>
    <row r="18" spans="1:10" ht="15.75" customHeight="1">
      <c r="A18" s="11"/>
      <c r="B18" s="166" t="s">
        <v>17</v>
      </c>
      <c r="C18" s="167"/>
      <c r="D18" s="168"/>
      <c r="E18" s="55" t="s">
        <v>31</v>
      </c>
      <c r="F18" s="31" t="s">
        <v>18</v>
      </c>
      <c r="G18" s="32">
        <v>0.28</v>
      </c>
      <c r="H18" s="56">
        <f>ROUND(G18*$E$3*12,2)</f>
        <v>8944.66</v>
      </c>
      <c r="I18" s="74">
        <f>$I$12*0.02</f>
        <v>831.1664000000001</v>
      </c>
      <c r="J18" s="53">
        <f>SUM(H18:I18)</f>
        <v>9775.8264</v>
      </c>
    </row>
    <row r="19" spans="1:10" ht="15.75" customHeight="1">
      <c r="A19" s="11"/>
      <c r="B19" s="163" t="s">
        <v>22</v>
      </c>
      <c r="C19" s="164"/>
      <c r="D19" s="165"/>
      <c r="E19" s="57" t="s">
        <v>67</v>
      </c>
      <c r="F19" s="33" t="s">
        <v>19</v>
      </c>
      <c r="G19" s="32">
        <v>0.39</v>
      </c>
      <c r="H19" s="56">
        <f>J19-I19</f>
        <v>47.52759999999989</v>
      </c>
      <c r="I19" s="74">
        <f>$I$12*0.07</f>
        <v>2909.0824000000002</v>
      </c>
      <c r="J19" s="75">
        <v>2956.61</v>
      </c>
    </row>
    <row r="20" spans="1:10" ht="15.75" customHeight="1">
      <c r="A20" s="54"/>
      <c r="B20" s="181" t="s">
        <v>30</v>
      </c>
      <c r="C20" s="182"/>
      <c r="D20" s="183"/>
      <c r="E20" s="58" t="s">
        <v>9</v>
      </c>
      <c r="F20" s="34" t="s">
        <v>10</v>
      </c>
      <c r="G20" s="32">
        <v>0.51</v>
      </c>
      <c r="H20" s="56">
        <f>ROUND(G20*$E$3*12,2)</f>
        <v>16292.05</v>
      </c>
      <c r="I20" s="74">
        <f>$I$12*0.04</f>
        <v>1662.3328000000001</v>
      </c>
      <c r="J20" s="53">
        <f>SUM(H20:I20)</f>
        <v>17954.3828</v>
      </c>
    </row>
    <row r="21" spans="1:10" ht="63.75" customHeight="1">
      <c r="A21" s="11"/>
      <c r="B21" s="163" t="s">
        <v>26</v>
      </c>
      <c r="C21" s="164"/>
      <c r="D21" s="165"/>
      <c r="E21" s="57" t="s">
        <v>68</v>
      </c>
      <c r="F21" s="33" t="s">
        <v>24</v>
      </c>
      <c r="G21" s="32">
        <v>0.12</v>
      </c>
      <c r="H21" s="56">
        <f>J21-I21</f>
        <v>4532.8168</v>
      </c>
      <c r="I21" s="74">
        <f>$I$12*0.01</f>
        <v>415.58320000000003</v>
      </c>
      <c r="J21" s="75">
        <v>4948.4</v>
      </c>
    </row>
    <row r="22" spans="1:10" ht="15.75" customHeight="1">
      <c r="A22" s="54"/>
      <c r="B22" s="163" t="s">
        <v>11</v>
      </c>
      <c r="C22" s="164"/>
      <c r="D22" s="165"/>
      <c r="E22" s="57" t="s">
        <v>9</v>
      </c>
      <c r="F22" s="33" t="s">
        <v>12</v>
      </c>
      <c r="G22" s="32">
        <v>0</v>
      </c>
      <c r="H22" s="56">
        <f>J22-I22</f>
        <v>0</v>
      </c>
      <c r="I22" s="74">
        <f>$I$12*0</f>
        <v>0</v>
      </c>
      <c r="J22" s="75">
        <f>G22*E3*12</f>
        <v>0</v>
      </c>
    </row>
    <row r="23" spans="1:10" ht="15.75" customHeight="1">
      <c r="A23" s="54"/>
      <c r="B23" s="163" t="s">
        <v>25</v>
      </c>
      <c r="C23" s="164"/>
      <c r="D23" s="165"/>
      <c r="E23" s="59" t="s">
        <v>13</v>
      </c>
      <c r="F23" s="29" t="s">
        <v>14</v>
      </c>
      <c r="G23" s="32">
        <v>0.05</v>
      </c>
      <c r="H23" s="56">
        <f>J23-I23</f>
        <v>1510.02504</v>
      </c>
      <c r="I23" s="74">
        <f>$I$12*0.003</f>
        <v>124.67496</v>
      </c>
      <c r="J23" s="75">
        <v>1634.7</v>
      </c>
    </row>
    <row r="24" spans="1:10" ht="26.25" customHeight="1">
      <c r="A24" s="11"/>
      <c r="B24" s="163" t="s">
        <v>69</v>
      </c>
      <c r="C24" s="164"/>
      <c r="D24" s="165"/>
      <c r="E24" s="55" t="s">
        <v>34</v>
      </c>
      <c r="F24" s="60" t="s">
        <v>41</v>
      </c>
      <c r="G24" s="32">
        <v>2.15</v>
      </c>
      <c r="H24" s="56">
        <f aca="true" t="shared" si="0" ref="H24:H29">ROUND(G24*$E$3*12,2)</f>
        <v>68682.18</v>
      </c>
      <c r="I24" s="74">
        <f>$I$12*0.19</f>
        <v>7896.0808</v>
      </c>
      <c r="J24" s="53">
        <f aca="true" t="shared" si="1" ref="J24:J29">SUM(H24:I24)</f>
        <v>76578.26079999999</v>
      </c>
    </row>
    <row r="25" spans="1:10" ht="26.25" customHeight="1">
      <c r="A25" s="11"/>
      <c r="B25" s="166" t="s">
        <v>15</v>
      </c>
      <c r="C25" s="167"/>
      <c r="D25" s="168"/>
      <c r="E25" s="55" t="s">
        <v>34</v>
      </c>
      <c r="F25" s="60" t="s">
        <v>41</v>
      </c>
      <c r="G25" s="32">
        <v>0.44</v>
      </c>
      <c r="H25" s="61">
        <f t="shared" si="0"/>
        <v>14055.89</v>
      </c>
      <c r="I25" s="74">
        <v>0</v>
      </c>
      <c r="J25" s="53">
        <f t="shared" si="1"/>
        <v>14055.89</v>
      </c>
    </row>
    <row r="26" spans="1:10" ht="26.25" customHeight="1">
      <c r="A26" s="11"/>
      <c r="B26" s="169" t="s">
        <v>35</v>
      </c>
      <c r="C26" s="170"/>
      <c r="D26" s="171"/>
      <c r="E26" s="55" t="s">
        <v>34</v>
      </c>
      <c r="F26" s="60" t="s">
        <v>41</v>
      </c>
      <c r="G26" s="62">
        <f>3.46-G27</f>
        <v>3.46</v>
      </c>
      <c r="H26" s="61">
        <f t="shared" si="0"/>
        <v>110530.39</v>
      </c>
      <c r="I26" s="76">
        <f>$I$12*0.22</f>
        <v>9142.8304</v>
      </c>
      <c r="J26" s="53">
        <f t="shared" si="1"/>
        <v>119673.2204</v>
      </c>
    </row>
    <row r="27" spans="1:10" ht="26.25" customHeight="1">
      <c r="A27" s="54"/>
      <c r="B27" s="163" t="s">
        <v>70</v>
      </c>
      <c r="C27" s="164"/>
      <c r="D27" s="165"/>
      <c r="E27" s="55" t="s">
        <v>34</v>
      </c>
      <c r="F27" s="60" t="s">
        <v>41</v>
      </c>
      <c r="G27" s="62">
        <v>0</v>
      </c>
      <c r="H27" s="61">
        <f t="shared" si="0"/>
        <v>0</v>
      </c>
      <c r="I27" s="76">
        <f>$I$12*0</f>
        <v>0</v>
      </c>
      <c r="J27" s="53">
        <f t="shared" si="1"/>
        <v>0</v>
      </c>
    </row>
    <row r="28" spans="1:10" ht="15.75" customHeight="1">
      <c r="A28" s="11"/>
      <c r="B28" s="163" t="s">
        <v>71</v>
      </c>
      <c r="C28" s="164"/>
      <c r="D28" s="165"/>
      <c r="E28" s="57" t="s">
        <v>9</v>
      </c>
      <c r="F28" s="60" t="s">
        <v>41</v>
      </c>
      <c r="G28" s="62">
        <v>0</v>
      </c>
      <c r="H28" s="61">
        <f t="shared" si="0"/>
        <v>0</v>
      </c>
      <c r="I28" s="76">
        <f>$I$12*0</f>
        <v>0</v>
      </c>
      <c r="J28" s="53">
        <f t="shared" si="1"/>
        <v>0</v>
      </c>
    </row>
    <row r="29" spans="1:10" ht="17.25" customHeight="1">
      <c r="A29" s="11"/>
      <c r="B29" s="172" t="s">
        <v>20</v>
      </c>
      <c r="C29" s="173"/>
      <c r="D29" s="174"/>
      <c r="E29" s="57" t="s">
        <v>9</v>
      </c>
      <c r="F29" s="60" t="s">
        <v>41</v>
      </c>
      <c r="G29" s="29">
        <v>1.06</v>
      </c>
      <c r="H29" s="56">
        <f t="shared" si="0"/>
        <v>33861.91</v>
      </c>
      <c r="I29" s="74">
        <f>$I$12*0.1</f>
        <v>4155.832</v>
      </c>
      <c r="J29" s="53">
        <f t="shared" si="1"/>
        <v>38017.742000000006</v>
      </c>
    </row>
    <row r="30" spans="1:10" ht="15.75" customHeight="1">
      <c r="A30" s="11"/>
      <c r="B30" s="175" t="s">
        <v>72</v>
      </c>
      <c r="C30" s="176"/>
      <c r="D30" s="177"/>
      <c r="E30" s="57" t="s">
        <v>9</v>
      </c>
      <c r="F30" s="60"/>
      <c r="G30" s="29"/>
      <c r="H30" s="61"/>
      <c r="I30" s="52"/>
      <c r="J30" s="63"/>
    </row>
    <row r="31" spans="1:10" ht="26.25" customHeight="1">
      <c r="A31" s="11"/>
      <c r="B31" s="175" t="s">
        <v>73</v>
      </c>
      <c r="C31" s="176"/>
      <c r="D31" s="177"/>
      <c r="E31" s="55" t="s">
        <v>34</v>
      </c>
      <c r="F31" s="60"/>
      <c r="G31" s="29"/>
      <c r="H31" s="61"/>
      <c r="I31" s="52"/>
      <c r="J31" s="63"/>
    </row>
    <row r="32" spans="1:10" ht="15.75" customHeight="1">
      <c r="A32" s="11"/>
      <c r="B32" s="151"/>
      <c r="C32" s="152"/>
      <c r="D32" s="153"/>
      <c r="E32" s="57"/>
      <c r="F32" s="60"/>
      <c r="G32" s="29"/>
      <c r="H32" s="61"/>
      <c r="I32" s="52"/>
      <c r="J32" s="63"/>
    </row>
    <row r="33" spans="1:10" ht="15.75" customHeight="1">
      <c r="A33" s="11"/>
      <c r="B33" s="151"/>
      <c r="C33" s="152"/>
      <c r="D33" s="153"/>
      <c r="E33" s="57"/>
      <c r="F33" s="60"/>
      <c r="G33" s="29"/>
      <c r="H33" s="61"/>
      <c r="I33" s="52"/>
      <c r="J33" s="63"/>
    </row>
    <row r="34" spans="1:10" ht="15.75" customHeight="1">
      <c r="A34" s="11"/>
      <c r="B34" s="154" t="s">
        <v>29</v>
      </c>
      <c r="C34" s="155"/>
      <c r="D34" s="156"/>
      <c r="E34" s="7"/>
      <c r="F34" s="60"/>
      <c r="G34" s="10">
        <f>SUM(G17:G29)</f>
        <v>9.520000000000001</v>
      </c>
      <c r="H34" s="64">
        <f>SUM(H17:H33)</f>
        <v>292319.35944000003</v>
      </c>
      <c r="I34" s="64">
        <f>SUM(I17:I33)</f>
        <v>30462.248560000007</v>
      </c>
      <c r="J34" s="64">
        <f>SUM(J17:J33)</f>
        <v>322781.608</v>
      </c>
    </row>
    <row r="35" spans="1:10" ht="15.75" customHeight="1">
      <c r="A35" s="11"/>
      <c r="B35" s="77"/>
      <c r="C35" s="78"/>
      <c r="D35" s="78"/>
      <c r="E35" s="79"/>
      <c r="F35" s="60"/>
      <c r="G35" s="10"/>
      <c r="H35" s="64"/>
      <c r="I35" s="64"/>
      <c r="J35" s="64"/>
    </row>
    <row r="36" spans="1:10" ht="15.75" customHeight="1">
      <c r="A36" s="11"/>
      <c r="B36" s="77"/>
      <c r="C36" s="78"/>
      <c r="D36" s="78"/>
      <c r="E36" s="79"/>
      <c r="F36" s="60"/>
      <c r="G36" s="10"/>
      <c r="H36" s="64"/>
      <c r="I36" s="64"/>
      <c r="J36" s="64"/>
    </row>
    <row r="37" spans="1:10" ht="15.75" customHeight="1">
      <c r="A37" s="11"/>
      <c r="B37" s="77"/>
      <c r="C37" s="78"/>
      <c r="D37" s="78"/>
      <c r="E37" s="79"/>
      <c r="F37" s="60"/>
      <c r="G37" s="10"/>
      <c r="H37" s="64"/>
      <c r="I37" s="64"/>
      <c r="J37" s="64"/>
    </row>
    <row r="38" spans="1:10" ht="15.75" customHeight="1">
      <c r="A38" s="11">
        <v>3</v>
      </c>
      <c r="B38" s="160" t="s">
        <v>74</v>
      </c>
      <c r="C38" s="161"/>
      <c r="D38" s="161"/>
      <c r="E38" s="162"/>
      <c r="F38" s="60" t="s">
        <v>41</v>
      </c>
      <c r="G38" s="12">
        <f>H38/E3/12</f>
        <v>1.7816135131412543</v>
      </c>
      <c r="H38" s="65">
        <v>56914</v>
      </c>
      <c r="I38" s="66">
        <v>0</v>
      </c>
      <c r="J38" s="53">
        <f>SUM(H38:I38)</f>
        <v>56914</v>
      </c>
    </row>
    <row r="39" spans="1:10" ht="15.75" customHeight="1">
      <c r="A39" s="13"/>
      <c r="B39" s="148" t="s">
        <v>40</v>
      </c>
      <c r="C39" s="149"/>
      <c r="D39" s="149"/>
      <c r="E39" s="149"/>
      <c r="F39" s="150"/>
      <c r="G39" s="10">
        <f>SUM(G34:G38)</f>
        <v>11.301613513141255</v>
      </c>
      <c r="H39" s="67">
        <f>SUM(H34:H38)</f>
        <v>349233.35944000003</v>
      </c>
      <c r="I39" s="21">
        <f>SUM(I34:I38)</f>
        <v>30462.248560000007</v>
      </c>
      <c r="J39" s="67">
        <f>SUM(J34:J38)</f>
        <v>379695.608</v>
      </c>
    </row>
    <row r="40" spans="1:10" ht="15.75" customHeight="1">
      <c r="A40" s="11">
        <v>4</v>
      </c>
      <c r="B40" s="145" t="s">
        <v>75</v>
      </c>
      <c r="C40" s="146"/>
      <c r="D40" s="146"/>
      <c r="E40" s="146"/>
      <c r="F40" s="147"/>
      <c r="G40" s="68"/>
      <c r="H40" s="69">
        <v>0</v>
      </c>
      <c r="I40" s="69">
        <v>0</v>
      </c>
      <c r="J40" s="72">
        <f>SUM(H40:I40)</f>
        <v>0</v>
      </c>
    </row>
    <row r="41" spans="1:10" ht="15.75" customHeight="1">
      <c r="A41" s="13"/>
      <c r="B41" s="148" t="s">
        <v>76</v>
      </c>
      <c r="C41" s="149"/>
      <c r="D41" s="149"/>
      <c r="E41" s="149"/>
      <c r="F41" s="150"/>
      <c r="G41" s="10">
        <f>SUM(G39:G40)</f>
        <v>11.301613513141255</v>
      </c>
      <c r="H41" s="67">
        <f>SUM(H39:H40)</f>
        <v>349233.35944000003</v>
      </c>
      <c r="I41" s="21">
        <f>SUM(I39:I40)</f>
        <v>30462.248560000007</v>
      </c>
      <c r="J41" s="67">
        <f>SUM(J39:J40)</f>
        <v>379695.608</v>
      </c>
    </row>
    <row r="42" spans="1:10" ht="15.75" customHeight="1">
      <c r="A42" s="11">
        <v>5</v>
      </c>
      <c r="B42" s="144" t="s">
        <v>107</v>
      </c>
      <c r="C42" s="157"/>
      <c r="D42" s="157"/>
      <c r="E42" s="157"/>
      <c r="F42" s="157"/>
      <c r="G42" s="158"/>
      <c r="H42" s="20">
        <f>H14-H41</f>
        <v>-13148.989440000034</v>
      </c>
      <c r="I42" s="56">
        <f>I14-I41</f>
        <v>11096.071439999992</v>
      </c>
      <c r="J42" s="70">
        <f>J14-J41</f>
        <v>-2052.918000000005</v>
      </c>
    </row>
    <row r="44" spans="2:5" ht="15.75">
      <c r="B44" s="42" t="s">
        <v>77</v>
      </c>
      <c r="C44" s="42"/>
      <c r="D44" s="42"/>
      <c r="E44" s="17"/>
    </row>
    <row r="45" spans="2:4" ht="15.75">
      <c r="B45" s="42"/>
      <c r="C45" s="42"/>
      <c r="D45" s="42"/>
    </row>
    <row r="46" spans="2:4" ht="15.75">
      <c r="B46" s="71" t="s">
        <v>108</v>
      </c>
      <c r="C46" s="71"/>
      <c r="D46" s="41"/>
    </row>
    <row r="47" spans="2:4" ht="15.75" customHeight="1">
      <c r="B47" s="159" t="s">
        <v>78</v>
      </c>
      <c r="C47" s="159"/>
      <c r="D47" s="159"/>
    </row>
  </sheetData>
  <sheetProtection/>
  <mergeCells count="36">
    <mergeCell ref="B14:F14"/>
    <mergeCell ref="B15:F15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29:D29"/>
    <mergeCell ref="B30:D30"/>
    <mergeCell ref="B31:D31"/>
    <mergeCell ref="B32:D32"/>
    <mergeCell ref="B23:D23"/>
    <mergeCell ref="B24:D24"/>
    <mergeCell ref="B25:D25"/>
    <mergeCell ref="B26:D26"/>
    <mergeCell ref="B42:G42"/>
    <mergeCell ref="B47:D47"/>
    <mergeCell ref="B38:E38"/>
    <mergeCell ref="B39:F39"/>
    <mergeCell ref="B33:D33"/>
    <mergeCell ref="B34:D34"/>
    <mergeCell ref="B40:F40"/>
    <mergeCell ref="B41:F41"/>
  </mergeCells>
  <printOptions/>
  <pageMargins left="0.1968503937007874" right="0.1968503937007874" top="0" bottom="0" header="0" footer="0"/>
  <pageSetup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22.625" style="0" hidden="1" customWidth="1"/>
    <col min="7" max="7" width="7.375" style="0" bestFit="1" customWidth="1"/>
    <col min="8" max="8" width="13.25390625" style="0" customWidth="1"/>
  </cols>
  <sheetData>
    <row r="1" spans="1:8" ht="60.75" customHeight="1">
      <c r="A1" s="190" t="s">
        <v>126</v>
      </c>
      <c r="B1" s="190"/>
      <c r="C1" s="190"/>
      <c r="D1" s="190"/>
      <c r="E1" s="190"/>
      <c r="F1" s="190"/>
      <c r="G1" s="190"/>
      <c r="H1" s="190"/>
    </row>
    <row r="2" spans="2:6" ht="18.75">
      <c r="B2" s="1" t="s">
        <v>42</v>
      </c>
      <c r="C2" s="2"/>
      <c r="D2" s="2" t="s">
        <v>0</v>
      </c>
      <c r="E2" s="14">
        <v>2662.1</v>
      </c>
      <c r="F2" s="2"/>
    </row>
    <row r="3" spans="2:6" ht="15.75">
      <c r="B3" s="3" t="s">
        <v>1</v>
      </c>
      <c r="C3" s="18">
        <v>5</v>
      </c>
      <c r="D3" s="2" t="s">
        <v>2</v>
      </c>
      <c r="E3" s="15">
        <v>59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63">
      <c r="A6" s="22" t="s">
        <v>37</v>
      </c>
      <c r="B6" s="210"/>
      <c r="C6" s="210"/>
      <c r="D6" s="210"/>
      <c r="E6" s="23" t="s">
        <v>6</v>
      </c>
      <c r="F6" s="23" t="s">
        <v>7</v>
      </c>
      <c r="G6" s="24" t="s">
        <v>43</v>
      </c>
      <c r="H6" s="25" t="s">
        <v>44</v>
      </c>
    </row>
    <row r="7" spans="1:8" ht="15.75" customHeight="1">
      <c r="A7" s="26"/>
      <c r="B7" s="211" t="s">
        <v>45</v>
      </c>
      <c r="C7" s="211"/>
      <c r="D7" s="211"/>
      <c r="E7" s="211"/>
      <c r="F7" s="211"/>
      <c r="G7" s="27"/>
      <c r="H7" s="28"/>
    </row>
    <row r="8" spans="1:8" ht="15.75" customHeight="1">
      <c r="A8" s="26">
        <v>1</v>
      </c>
      <c r="B8" s="208" t="s">
        <v>46</v>
      </c>
      <c r="C8" s="208"/>
      <c r="D8" s="208"/>
      <c r="E8" s="208"/>
      <c r="F8" s="208"/>
      <c r="G8" s="12">
        <f>G27</f>
        <v>10.89</v>
      </c>
      <c r="H8" s="28">
        <f>ROUND(G8*$E$2*12,0)</f>
        <v>347883</v>
      </c>
    </row>
    <row r="9" spans="1:8" ht="15.75" customHeight="1">
      <c r="A9" s="26"/>
      <c r="B9" s="208" t="s">
        <v>47</v>
      </c>
      <c r="C9" s="208"/>
      <c r="D9" s="208"/>
      <c r="E9" s="208"/>
      <c r="F9" s="208"/>
      <c r="G9" s="11">
        <v>0.78</v>
      </c>
      <c r="H9" s="28">
        <f>ROUND($E$2*G9*12,0)</f>
        <v>24917</v>
      </c>
    </row>
    <row r="10" spans="1:8" ht="18.75">
      <c r="A10" s="26">
        <v>2</v>
      </c>
      <c r="B10" s="212" t="s">
        <v>38</v>
      </c>
      <c r="C10" s="212"/>
      <c r="D10" s="212"/>
      <c r="E10" s="212"/>
      <c r="F10" s="212"/>
      <c r="G10" s="29"/>
      <c r="H10" s="28"/>
    </row>
    <row r="11" spans="1:8" ht="15.75">
      <c r="A11" s="26"/>
      <c r="B11" s="9" t="s">
        <v>39</v>
      </c>
      <c r="C11" s="9"/>
      <c r="D11" s="9"/>
      <c r="E11" s="9"/>
      <c r="F11" s="5"/>
      <c r="G11" s="7"/>
      <c r="H11" s="28"/>
    </row>
    <row r="12" spans="1:8" ht="32.25" customHeight="1">
      <c r="A12" s="30"/>
      <c r="B12" s="207" t="s">
        <v>48</v>
      </c>
      <c r="C12" s="207"/>
      <c r="D12" s="207"/>
      <c r="E12" s="31" t="s">
        <v>31</v>
      </c>
      <c r="F12" s="31" t="s">
        <v>23</v>
      </c>
      <c r="G12" s="32">
        <v>1.09</v>
      </c>
      <c r="H12" s="28">
        <f>ROUND(G12*$E$2*12,0)</f>
        <v>34820</v>
      </c>
    </row>
    <row r="13" spans="1:8" ht="15.75" customHeight="1">
      <c r="A13" s="30"/>
      <c r="B13" s="207" t="s">
        <v>17</v>
      </c>
      <c r="C13" s="207"/>
      <c r="D13" s="207"/>
      <c r="E13" s="31" t="s">
        <v>31</v>
      </c>
      <c r="F13" s="31" t="s">
        <v>18</v>
      </c>
      <c r="G13" s="32">
        <v>0.29</v>
      </c>
      <c r="H13" s="28">
        <f aca="true" t="shared" si="0" ref="H13:H27">ROUND(G13*$E$2*12,0)</f>
        <v>9264</v>
      </c>
    </row>
    <row r="14" spans="1:8" ht="16.5" customHeight="1">
      <c r="A14" s="30"/>
      <c r="B14" s="208" t="s">
        <v>22</v>
      </c>
      <c r="C14" s="208"/>
      <c r="D14" s="208"/>
      <c r="E14" s="33" t="s">
        <v>8</v>
      </c>
      <c r="F14" s="33" t="s">
        <v>19</v>
      </c>
      <c r="G14" s="32">
        <v>0.4</v>
      </c>
      <c r="H14" s="28">
        <f t="shared" si="0"/>
        <v>12778</v>
      </c>
    </row>
    <row r="15" spans="1:8" ht="16.5" customHeight="1">
      <c r="A15" s="30"/>
      <c r="B15" s="213" t="s">
        <v>30</v>
      </c>
      <c r="C15" s="213"/>
      <c r="D15" s="213"/>
      <c r="E15" s="34" t="s">
        <v>9</v>
      </c>
      <c r="F15" s="34" t="s">
        <v>10</v>
      </c>
      <c r="G15" s="32">
        <v>0.53</v>
      </c>
      <c r="H15" s="28">
        <f t="shared" si="0"/>
        <v>16931</v>
      </c>
    </row>
    <row r="16" spans="1:8" ht="62.25" customHeight="1">
      <c r="A16" s="30"/>
      <c r="B16" s="208" t="s">
        <v>26</v>
      </c>
      <c r="C16" s="208"/>
      <c r="D16" s="208"/>
      <c r="E16" s="33" t="s">
        <v>32</v>
      </c>
      <c r="F16" s="33" t="s">
        <v>24</v>
      </c>
      <c r="G16" s="32">
        <v>0.12</v>
      </c>
      <c r="H16" s="28">
        <f t="shared" si="0"/>
        <v>3833</v>
      </c>
    </row>
    <row r="17" spans="1:8" ht="28.5" customHeight="1">
      <c r="A17" s="30"/>
      <c r="B17" s="208" t="s">
        <v>11</v>
      </c>
      <c r="C17" s="208"/>
      <c r="D17" s="208"/>
      <c r="E17" s="33" t="s">
        <v>9</v>
      </c>
      <c r="F17" s="33" t="s">
        <v>12</v>
      </c>
      <c r="G17" s="32">
        <v>0</v>
      </c>
      <c r="H17" s="28">
        <f t="shared" si="0"/>
        <v>0</v>
      </c>
    </row>
    <row r="18" spans="1:8" ht="15.75" customHeight="1">
      <c r="A18" s="30"/>
      <c r="B18" s="208" t="s">
        <v>25</v>
      </c>
      <c r="C18" s="203"/>
      <c r="D18" s="203"/>
      <c r="E18" s="29" t="s">
        <v>13</v>
      </c>
      <c r="F18" s="29" t="s">
        <v>14</v>
      </c>
      <c r="G18" s="32">
        <v>0.05</v>
      </c>
      <c r="H18" s="28">
        <f t="shared" si="0"/>
        <v>1597</v>
      </c>
    </row>
    <row r="19" spans="1:8" ht="28.5" customHeight="1">
      <c r="A19" s="30"/>
      <c r="B19" s="208" t="s">
        <v>33</v>
      </c>
      <c r="C19" s="208"/>
      <c r="D19" s="208"/>
      <c r="E19" s="31" t="s">
        <v>34</v>
      </c>
      <c r="F19" s="33" t="s">
        <v>41</v>
      </c>
      <c r="G19" s="32">
        <v>2.21</v>
      </c>
      <c r="H19" s="28">
        <f t="shared" si="0"/>
        <v>70599</v>
      </c>
    </row>
    <row r="20" spans="1:8" ht="63">
      <c r="A20" s="30"/>
      <c r="B20" s="207" t="s">
        <v>15</v>
      </c>
      <c r="C20" s="207"/>
      <c r="D20" s="207"/>
      <c r="E20" s="31" t="s">
        <v>49</v>
      </c>
      <c r="F20" s="33" t="s">
        <v>41</v>
      </c>
      <c r="G20" s="32">
        <v>0.45</v>
      </c>
      <c r="H20" s="28">
        <f t="shared" si="0"/>
        <v>14375</v>
      </c>
    </row>
    <row r="21" spans="1:8" ht="30" customHeight="1">
      <c r="A21" s="30"/>
      <c r="B21" s="208" t="s">
        <v>35</v>
      </c>
      <c r="C21" s="203"/>
      <c r="D21" s="203"/>
      <c r="E21" s="31" t="s">
        <v>34</v>
      </c>
      <c r="F21" s="33" t="s">
        <v>41</v>
      </c>
      <c r="G21" s="32">
        <f>3.57-G22-G23</f>
        <v>3.57</v>
      </c>
      <c r="H21" s="28">
        <f t="shared" si="0"/>
        <v>114044</v>
      </c>
    </row>
    <row r="22" spans="1:8" ht="30.75" customHeight="1">
      <c r="A22" s="30"/>
      <c r="B22" s="208" t="s">
        <v>27</v>
      </c>
      <c r="C22" s="208"/>
      <c r="D22" s="208"/>
      <c r="E22" s="31" t="s">
        <v>34</v>
      </c>
      <c r="F22" s="33" t="s">
        <v>41</v>
      </c>
      <c r="G22" s="32">
        <v>0</v>
      </c>
      <c r="H22" s="28">
        <f t="shared" si="0"/>
        <v>0</v>
      </c>
    </row>
    <row r="23" spans="1:8" ht="30" customHeight="1">
      <c r="A23" s="30"/>
      <c r="B23" s="208" t="s">
        <v>28</v>
      </c>
      <c r="C23" s="208"/>
      <c r="D23" s="208"/>
      <c r="E23" s="31" t="s">
        <v>34</v>
      </c>
      <c r="F23" s="33" t="s">
        <v>41</v>
      </c>
      <c r="G23" s="32">
        <v>0</v>
      </c>
      <c r="H23" s="28">
        <f t="shared" si="0"/>
        <v>0</v>
      </c>
    </row>
    <row r="24" spans="1:8" ht="31.5">
      <c r="A24" s="30"/>
      <c r="B24" s="203" t="s">
        <v>20</v>
      </c>
      <c r="C24" s="203"/>
      <c r="D24" s="203"/>
      <c r="E24" s="31" t="s">
        <v>34</v>
      </c>
      <c r="F24" s="33" t="s">
        <v>41</v>
      </c>
      <c r="G24" s="32">
        <v>1.09</v>
      </c>
      <c r="H24" s="28">
        <f t="shared" si="0"/>
        <v>34820</v>
      </c>
    </row>
    <row r="25" spans="1:8" ht="15.75">
      <c r="A25" s="26"/>
      <c r="B25" s="209" t="s">
        <v>29</v>
      </c>
      <c r="C25" s="209"/>
      <c r="D25" s="209"/>
      <c r="E25" s="7"/>
      <c r="F25" s="33"/>
      <c r="G25" s="10">
        <f>SUM(G12:G24)</f>
        <v>9.8</v>
      </c>
      <c r="H25" s="28">
        <f>ROUND(G25*$E$2*12,0)</f>
        <v>313063</v>
      </c>
    </row>
    <row r="26" spans="1:8" ht="15.75" customHeight="1">
      <c r="A26" s="26">
        <v>3</v>
      </c>
      <c r="B26" s="202" t="s">
        <v>36</v>
      </c>
      <c r="C26" s="203"/>
      <c r="D26" s="203"/>
      <c r="E26" s="7"/>
      <c r="F26" s="35" t="s">
        <v>50</v>
      </c>
      <c r="G26" s="12">
        <v>1.09</v>
      </c>
      <c r="H26" s="28">
        <f t="shared" si="0"/>
        <v>34820</v>
      </c>
    </row>
    <row r="27" spans="1:8" ht="15.75">
      <c r="A27" s="26"/>
      <c r="B27" s="204" t="s">
        <v>40</v>
      </c>
      <c r="C27" s="204"/>
      <c r="D27" s="204"/>
      <c r="E27" s="204"/>
      <c r="F27" s="204"/>
      <c r="G27" s="12">
        <f>SUM(G25:G26)</f>
        <v>10.89</v>
      </c>
      <c r="H27" s="28">
        <f t="shared" si="0"/>
        <v>347883</v>
      </c>
    </row>
    <row r="28" spans="1:8" ht="16.5" thickBot="1">
      <c r="A28" s="90">
        <v>4</v>
      </c>
      <c r="B28" s="205" t="s">
        <v>51</v>
      </c>
      <c r="C28" s="205"/>
      <c r="D28" s="205"/>
      <c r="E28" s="102"/>
      <c r="F28" s="36" t="s">
        <v>50</v>
      </c>
      <c r="G28" s="106">
        <v>0.78</v>
      </c>
      <c r="H28" s="104">
        <f>ROUND($E$2*G28*12,0)</f>
        <v>24917</v>
      </c>
    </row>
    <row r="29" spans="1:6" ht="15.75">
      <c r="A29" s="91"/>
      <c r="B29" s="107"/>
      <c r="C29" s="107"/>
      <c r="D29" s="107"/>
      <c r="E29" s="107"/>
      <c r="F29" s="92"/>
    </row>
    <row r="30" spans="1:6" ht="15.75">
      <c r="A30" s="91"/>
      <c r="B30" s="206" t="s">
        <v>127</v>
      </c>
      <c r="C30" s="206"/>
      <c r="D30" s="206"/>
      <c r="E30" s="206"/>
      <c r="F30" s="206"/>
    </row>
    <row r="31" spans="1:8" ht="15.75" customHeight="1">
      <c r="A31" s="91"/>
      <c r="B31" s="201" t="s">
        <v>128</v>
      </c>
      <c r="C31" s="201"/>
      <c r="D31" s="201"/>
      <c r="E31" s="201"/>
      <c r="F31" s="201"/>
      <c r="H31" t="s">
        <v>103</v>
      </c>
    </row>
    <row r="32" spans="1:6" ht="15.75" customHeight="1">
      <c r="A32" s="91"/>
      <c r="B32" s="201" t="s">
        <v>129</v>
      </c>
      <c r="C32" s="201"/>
      <c r="D32" s="201"/>
      <c r="E32" s="201"/>
      <c r="F32" s="201"/>
    </row>
    <row r="34" spans="2:8" ht="15.75">
      <c r="B34" s="17" t="s">
        <v>130</v>
      </c>
      <c r="C34" s="17"/>
      <c r="D34" s="17"/>
      <c r="E34" s="17"/>
      <c r="F34" s="17"/>
      <c r="G34" s="17"/>
      <c r="H34" s="17"/>
    </row>
    <row r="36" ht="15.75">
      <c r="H36" t="s">
        <v>103</v>
      </c>
    </row>
    <row r="45" ht="15.75">
      <c r="E45" t="s">
        <v>103</v>
      </c>
    </row>
  </sheetData>
  <sheetProtection/>
  <mergeCells count="26">
    <mergeCell ref="B18:D18"/>
    <mergeCell ref="B19:D19"/>
    <mergeCell ref="B9:F9"/>
    <mergeCell ref="B10:F10"/>
    <mergeCell ref="B12:D12"/>
    <mergeCell ref="B13:D13"/>
    <mergeCell ref="B14:D14"/>
    <mergeCell ref="B15:D15"/>
    <mergeCell ref="B16:D16"/>
    <mergeCell ref="B17:D17"/>
    <mergeCell ref="A1:H1"/>
    <mergeCell ref="B6:D6"/>
    <mergeCell ref="B7:F7"/>
    <mergeCell ref="B8:F8"/>
    <mergeCell ref="B20:D20"/>
    <mergeCell ref="B21:D21"/>
    <mergeCell ref="B24:D24"/>
    <mergeCell ref="B25:D25"/>
    <mergeCell ref="B22:D22"/>
    <mergeCell ref="B23:D23"/>
    <mergeCell ref="B31:F31"/>
    <mergeCell ref="B32:F32"/>
    <mergeCell ref="B26:D26"/>
    <mergeCell ref="B27:F27"/>
    <mergeCell ref="B28:D28"/>
    <mergeCell ref="B30:F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0">
      <selection activeCell="B8" sqref="B8:G11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18.00390625" style="0" hidden="1" customWidth="1"/>
    <col min="7" max="7" width="11.75390625" style="0" customWidth="1"/>
    <col min="8" max="8" width="12.625" style="0" customWidth="1"/>
  </cols>
  <sheetData>
    <row r="1" spans="4:8" ht="69" customHeight="1">
      <c r="D1" s="217" t="s">
        <v>110</v>
      </c>
      <c r="E1" s="217"/>
      <c r="F1" s="217"/>
      <c r="G1" s="217"/>
      <c r="H1" s="217"/>
    </row>
    <row r="4" spans="1:8" ht="19.5" customHeight="1">
      <c r="A4" s="190" t="s">
        <v>111</v>
      </c>
      <c r="B4" s="190"/>
      <c r="C4" s="190"/>
      <c r="D4" s="190"/>
      <c r="E4" s="190"/>
      <c r="F4" s="190"/>
      <c r="G4" s="190"/>
      <c r="H4" s="190"/>
    </row>
    <row r="6" spans="2:5" ht="15.75">
      <c r="B6" s="214" t="s">
        <v>119</v>
      </c>
      <c r="C6" s="214"/>
      <c r="D6" s="214"/>
      <c r="E6" s="214"/>
    </row>
    <row r="7" spans="2:5" ht="15.75">
      <c r="B7" s="43"/>
      <c r="C7" s="43"/>
      <c r="D7" s="43"/>
      <c r="E7" s="43"/>
    </row>
    <row r="8" spans="2:6" ht="18.75">
      <c r="B8" s="1" t="s">
        <v>42</v>
      </c>
      <c r="C8" s="2"/>
      <c r="D8" s="2" t="s">
        <v>0</v>
      </c>
      <c r="E8" s="101">
        <v>2722.06</v>
      </c>
      <c r="F8" s="2"/>
    </row>
    <row r="9" spans="2:6" ht="15.75">
      <c r="B9" s="3" t="s">
        <v>1</v>
      </c>
      <c r="C9" s="18">
        <v>5</v>
      </c>
      <c r="D9" s="2" t="s">
        <v>2</v>
      </c>
      <c r="E9" s="15" t="s">
        <v>121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110.25">
      <c r="A12" s="22" t="s">
        <v>37</v>
      </c>
      <c r="B12" s="218" t="s">
        <v>56</v>
      </c>
      <c r="C12" s="218"/>
      <c r="D12" s="218"/>
      <c r="E12" s="23" t="s">
        <v>6</v>
      </c>
      <c r="F12" s="23" t="s">
        <v>7</v>
      </c>
      <c r="G12" s="100" t="s">
        <v>124</v>
      </c>
      <c r="H12" s="25" t="s">
        <v>125</v>
      </c>
    </row>
    <row r="13" spans="1:8" ht="25.5">
      <c r="A13" s="93">
        <v>1</v>
      </c>
      <c r="B13" s="192">
        <v>2</v>
      </c>
      <c r="C13" s="193"/>
      <c r="D13" s="215"/>
      <c r="E13" s="95">
        <v>3</v>
      </c>
      <c r="F13" s="94"/>
      <c r="G13" s="96">
        <v>4</v>
      </c>
      <c r="H13" s="97" t="s">
        <v>120</v>
      </c>
    </row>
    <row r="14" spans="1:8" ht="15.75" customHeight="1" hidden="1">
      <c r="A14" s="26"/>
      <c r="B14" s="211" t="s">
        <v>45</v>
      </c>
      <c r="C14" s="211"/>
      <c r="D14" s="211"/>
      <c r="E14" s="211"/>
      <c r="F14" s="211"/>
      <c r="G14" s="27"/>
      <c r="H14" s="28"/>
    </row>
    <row r="15" spans="1:8" ht="15.75" customHeight="1" hidden="1">
      <c r="A15" s="26">
        <v>1</v>
      </c>
      <c r="B15" s="208" t="s">
        <v>46</v>
      </c>
      <c r="C15" s="208"/>
      <c r="D15" s="208"/>
      <c r="E15" s="208"/>
      <c r="F15" s="208"/>
      <c r="G15" s="12">
        <f>G34</f>
        <v>11.21</v>
      </c>
      <c r="H15" s="28">
        <f>ROUND(G15*$E$8*12,0)</f>
        <v>366172</v>
      </c>
    </row>
    <row r="16" spans="1:8" ht="15.75" customHeight="1" hidden="1">
      <c r="A16" s="26"/>
      <c r="B16" s="208" t="s">
        <v>47</v>
      </c>
      <c r="C16" s="208"/>
      <c r="D16" s="208"/>
      <c r="E16" s="208"/>
      <c r="F16" s="208"/>
      <c r="G16" s="11">
        <v>0.78</v>
      </c>
      <c r="H16" s="28">
        <f>ROUND($E$8*G16*12,0)</f>
        <v>25478</v>
      </c>
    </row>
    <row r="17" spans="1:8" ht="18.75">
      <c r="A17" s="26">
        <v>1</v>
      </c>
      <c r="B17" s="212" t="s">
        <v>38</v>
      </c>
      <c r="C17" s="212"/>
      <c r="D17" s="212"/>
      <c r="E17" s="212"/>
      <c r="F17" s="212"/>
      <c r="G17" s="29"/>
      <c r="H17" s="28"/>
    </row>
    <row r="18" spans="1:8" ht="15.75">
      <c r="A18" s="26">
        <v>1.1</v>
      </c>
      <c r="B18" s="9" t="s">
        <v>39</v>
      </c>
      <c r="C18" s="9"/>
      <c r="D18" s="9"/>
      <c r="E18" s="9"/>
      <c r="F18" s="5"/>
      <c r="G18" s="7"/>
      <c r="H18" s="28"/>
    </row>
    <row r="19" spans="1:8" ht="32.25" customHeight="1">
      <c r="A19" s="30"/>
      <c r="B19" s="207" t="s">
        <v>48</v>
      </c>
      <c r="C19" s="207"/>
      <c r="D19" s="207"/>
      <c r="E19" s="55" t="s">
        <v>31</v>
      </c>
      <c r="F19" s="31" t="s">
        <v>23</v>
      </c>
      <c r="G19" s="32">
        <v>1.12</v>
      </c>
      <c r="H19" s="28">
        <f>ROUND(G19*$E$8*5,0)</f>
        <v>15244</v>
      </c>
    </row>
    <row r="20" spans="1:8" ht="15.75" customHeight="1">
      <c r="A20" s="30"/>
      <c r="B20" s="207" t="s">
        <v>17</v>
      </c>
      <c r="C20" s="207"/>
      <c r="D20" s="207"/>
      <c r="E20" s="55" t="s">
        <v>31</v>
      </c>
      <c r="F20" s="31" t="s">
        <v>18</v>
      </c>
      <c r="G20" s="32">
        <v>0.3</v>
      </c>
      <c r="H20" s="28">
        <f aca="true" t="shared" si="0" ref="H20:H35">ROUND(G20*$E$8*5,0)</f>
        <v>4083</v>
      </c>
    </row>
    <row r="21" spans="1:8" ht="16.5" customHeight="1">
      <c r="A21" s="30"/>
      <c r="B21" s="208" t="s">
        <v>22</v>
      </c>
      <c r="C21" s="208"/>
      <c r="D21" s="208"/>
      <c r="E21" s="57" t="s">
        <v>8</v>
      </c>
      <c r="F21" s="33" t="s">
        <v>19</v>
      </c>
      <c r="G21" s="32">
        <v>0.41</v>
      </c>
      <c r="H21" s="28">
        <f t="shared" si="0"/>
        <v>5580</v>
      </c>
    </row>
    <row r="22" spans="1:8" ht="16.5" customHeight="1">
      <c r="A22" s="30"/>
      <c r="B22" s="213" t="s">
        <v>30</v>
      </c>
      <c r="C22" s="213"/>
      <c r="D22" s="213"/>
      <c r="E22" s="58" t="s">
        <v>9</v>
      </c>
      <c r="F22" s="34" t="s">
        <v>10</v>
      </c>
      <c r="G22" s="32">
        <v>0.54</v>
      </c>
      <c r="H22" s="28">
        <f t="shared" si="0"/>
        <v>7350</v>
      </c>
    </row>
    <row r="23" spans="1:8" ht="51">
      <c r="A23" s="30"/>
      <c r="B23" s="208" t="s">
        <v>26</v>
      </c>
      <c r="C23" s="208"/>
      <c r="D23" s="208"/>
      <c r="E23" s="57" t="s">
        <v>32</v>
      </c>
      <c r="F23" s="33" t="s">
        <v>24</v>
      </c>
      <c r="G23" s="32">
        <v>0.13</v>
      </c>
      <c r="H23" s="28">
        <f t="shared" si="0"/>
        <v>1769</v>
      </c>
    </row>
    <row r="24" spans="1:8" ht="32.25" customHeight="1">
      <c r="A24" s="30"/>
      <c r="B24" s="208" t="s">
        <v>11</v>
      </c>
      <c r="C24" s="208"/>
      <c r="D24" s="208"/>
      <c r="E24" s="57" t="s">
        <v>9</v>
      </c>
      <c r="F24" s="33" t="s">
        <v>12</v>
      </c>
      <c r="G24" s="103">
        <v>0</v>
      </c>
      <c r="H24" s="28">
        <f t="shared" si="0"/>
        <v>0</v>
      </c>
    </row>
    <row r="25" spans="1:8" ht="15.75" customHeight="1">
      <c r="A25" s="30"/>
      <c r="B25" s="208" t="s">
        <v>25</v>
      </c>
      <c r="C25" s="203"/>
      <c r="D25" s="203"/>
      <c r="E25" s="59" t="s">
        <v>13</v>
      </c>
      <c r="F25" s="29" t="s">
        <v>14</v>
      </c>
      <c r="G25" s="32">
        <v>0.05</v>
      </c>
      <c r="H25" s="28">
        <f t="shared" si="0"/>
        <v>681</v>
      </c>
    </row>
    <row r="26" spans="1:8" ht="51">
      <c r="A26" s="30"/>
      <c r="B26" s="208" t="s">
        <v>33</v>
      </c>
      <c r="C26" s="208"/>
      <c r="D26" s="208"/>
      <c r="E26" s="57" t="s">
        <v>112</v>
      </c>
      <c r="F26" s="33" t="s">
        <v>41</v>
      </c>
      <c r="G26" s="32">
        <v>1.63</v>
      </c>
      <c r="H26" s="28">
        <f t="shared" si="0"/>
        <v>22185</v>
      </c>
    </row>
    <row r="27" spans="1:8" ht="51">
      <c r="A27" s="30"/>
      <c r="B27" s="207" t="s">
        <v>15</v>
      </c>
      <c r="C27" s="207"/>
      <c r="D27" s="207"/>
      <c r="E27" s="98" t="s">
        <v>49</v>
      </c>
      <c r="F27" s="33" t="s">
        <v>41</v>
      </c>
      <c r="G27" s="32">
        <v>0.47</v>
      </c>
      <c r="H27" s="28">
        <f t="shared" si="0"/>
        <v>6397</v>
      </c>
    </row>
    <row r="28" spans="1:8" ht="30" customHeight="1">
      <c r="A28" s="30"/>
      <c r="B28" s="208" t="s">
        <v>35</v>
      </c>
      <c r="C28" s="203"/>
      <c r="D28" s="203"/>
      <c r="E28" s="55" t="s">
        <v>34</v>
      </c>
      <c r="F28" s="33" t="s">
        <v>41</v>
      </c>
      <c r="G28" s="32">
        <f>4.32-G29-G30</f>
        <v>4.32</v>
      </c>
      <c r="H28" s="28">
        <f t="shared" si="0"/>
        <v>58796</v>
      </c>
    </row>
    <row r="29" spans="1:8" ht="15.75">
      <c r="A29" s="30"/>
      <c r="B29" s="208" t="s">
        <v>27</v>
      </c>
      <c r="C29" s="208"/>
      <c r="D29" s="208"/>
      <c r="E29" s="57" t="s">
        <v>9</v>
      </c>
      <c r="F29" s="33" t="s">
        <v>41</v>
      </c>
      <c r="G29" s="103">
        <v>0</v>
      </c>
      <c r="H29" s="28">
        <f t="shared" si="0"/>
        <v>0</v>
      </c>
    </row>
    <row r="30" spans="1:8" ht="15.75">
      <c r="A30" s="30"/>
      <c r="B30" s="208" t="s">
        <v>28</v>
      </c>
      <c r="C30" s="208"/>
      <c r="D30" s="208"/>
      <c r="E30" s="57" t="s">
        <v>9</v>
      </c>
      <c r="F30" s="33" t="s">
        <v>41</v>
      </c>
      <c r="G30" s="103">
        <v>0</v>
      </c>
      <c r="H30" s="28">
        <f t="shared" si="0"/>
        <v>0</v>
      </c>
    </row>
    <row r="31" spans="1:8" ht="25.5">
      <c r="A31" s="30"/>
      <c r="B31" s="203" t="s">
        <v>20</v>
      </c>
      <c r="C31" s="203"/>
      <c r="D31" s="203"/>
      <c r="E31" s="55" t="s">
        <v>34</v>
      </c>
      <c r="F31" s="33" t="s">
        <v>41</v>
      </c>
      <c r="G31" s="32">
        <v>1.12</v>
      </c>
      <c r="H31" s="28">
        <f t="shared" si="0"/>
        <v>15244</v>
      </c>
    </row>
    <row r="32" spans="1:8" ht="15.75">
      <c r="A32" s="26"/>
      <c r="B32" s="209" t="s">
        <v>29</v>
      </c>
      <c r="C32" s="209"/>
      <c r="D32" s="209"/>
      <c r="E32" s="7"/>
      <c r="F32" s="33"/>
      <c r="G32" s="10">
        <f>SUM(G19:G31)</f>
        <v>10.09</v>
      </c>
      <c r="H32" s="28">
        <f t="shared" si="0"/>
        <v>137328</v>
      </c>
    </row>
    <row r="33" spans="1:8" ht="15.75" customHeight="1">
      <c r="A33" s="26" t="s">
        <v>122</v>
      </c>
      <c r="B33" s="202" t="s">
        <v>36</v>
      </c>
      <c r="C33" s="203"/>
      <c r="D33" s="203"/>
      <c r="E33" s="57" t="s">
        <v>113</v>
      </c>
      <c r="F33" s="35" t="s">
        <v>50</v>
      </c>
      <c r="G33" s="12">
        <v>1.12</v>
      </c>
      <c r="H33" s="28">
        <f t="shared" si="0"/>
        <v>15244</v>
      </c>
    </row>
    <row r="34" spans="1:8" ht="15.75">
      <c r="A34" s="26" t="s">
        <v>123</v>
      </c>
      <c r="B34" s="204" t="s">
        <v>40</v>
      </c>
      <c r="C34" s="204"/>
      <c r="D34" s="204"/>
      <c r="E34" s="204"/>
      <c r="F34" s="204"/>
      <c r="G34" s="12">
        <f>SUM(G32:G33)</f>
        <v>11.21</v>
      </c>
      <c r="H34" s="28">
        <f t="shared" si="0"/>
        <v>152571</v>
      </c>
    </row>
    <row r="35" spans="1:8" ht="16.5" thickBot="1">
      <c r="A35" s="90" t="s">
        <v>52</v>
      </c>
      <c r="B35" s="205" t="s">
        <v>51</v>
      </c>
      <c r="C35" s="205"/>
      <c r="D35" s="205"/>
      <c r="E35" s="57" t="s">
        <v>113</v>
      </c>
      <c r="F35" s="36" t="s">
        <v>50</v>
      </c>
      <c r="G35" s="99">
        <v>0.8</v>
      </c>
      <c r="H35" s="104">
        <f t="shared" si="0"/>
        <v>10888</v>
      </c>
    </row>
    <row r="36" spans="1:6" ht="15.75">
      <c r="A36" s="91"/>
      <c r="B36" s="216" t="s">
        <v>114</v>
      </c>
      <c r="C36" s="216"/>
      <c r="D36" s="216"/>
      <c r="E36" s="216"/>
      <c r="F36" s="92"/>
    </row>
    <row r="38" spans="2:8" ht="15.75">
      <c r="B38" s="17" t="s">
        <v>115</v>
      </c>
      <c r="C38" s="17"/>
      <c r="D38" s="17"/>
      <c r="E38" s="17" t="s">
        <v>116</v>
      </c>
      <c r="F38" s="17"/>
      <c r="G38" s="17"/>
      <c r="H38" s="17"/>
    </row>
    <row r="40" spans="2:8" ht="15.75">
      <c r="B40" s="17" t="s">
        <v>117</v>
      </c>
      <c r="C40" s="17"/>
      <c r="D40" s="17"/>
      <c r="E40" t="s">
        <v>118</v>
      </c>
      <c r="H40" t="s">
        <v>103</v>
      </c>
    </row>
  </sheetData>
  <sheetProtection/>
  <mergeCells count="27">
    <mergeCell ref="B36:E36"/>
    <mergeCell ref="D1:H1"/>
    <mergeCell ref="A4:H4"/>
    <mergeCell ref="B12:D12"/>
    <mergeCell ref="B14:F14"/>
    <mergeCell ref="B15:F15"/>
    <mergeCell ref="B16:F16"/>
    <mergeCell ref="B17:F17"/>
    <mergeCell ref="B23:D23"/>
    <mergeCell ref="B24:D24"/>
    <mergeCell ref="B21:D21"/>
    <mergeCell ref="B22:D22"/>
    <mergeCell ref="B25:D25"/>
    <mergeCell ref="B26:D26"/>
    <mergeCell ref="B6:E6"/>
    <mergeCell ref="B13:D13"/>
    <mergeCell ref="B19:D19"/>
    <mergeCell ref="B20:D20"/>
    <mergeCell ref="B27:D27"/>
    <mergeCell ref="B28:D28"/>
    <mergeCell ref="B35:D35"/>
    <mergeCell ref="B29:D29"/>
    <mergeCell ref="B30:D30"/>
    <mergeCell ref="B31:D31"/>
    <mergeCell ref="B32:D32"/>
    <mergeCell ref="B33:D33"/>
    <mergeCell ref="B34:F34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E4" sqref="E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75390625" style="0" customWidth="1"/>
    <col min="5" max="5" width="18.00390625" style="0" customWidth="1"/>
    <col min="6" max="6" width="22.50390625" style="0" hidden="1" customWidth="1"/>
    <col min="7" max="7" width="9.25390625" style="0" customWidth="1"/>
    <col min="8" max="8" width="10.375" style="0" customWidth="1"/>
    <col min="9" max="9" width="16.125" style="0" customWidth="1"/>
  </cols>
  <sheetData>
    <row r="1" spans="1:9" ht="60.75" customHeight="1">
      <c r="A1" s="190" t="s">
        <v>142</v>
      </c>
      <c r="B1" s="190"/>
      <c r="C1" s="190"/>
      <c r="D1" s="190"/>
      <c r="E1" s="190"/>
      <c r="F1" s="190"/>
      <c r="G1" s="190"/>
      <c r="H1" s="190"/>
      <c r="I1" s="190"/>
    </row>
    <row r="2" spans="1:8" ht="15.75" customHeight="1">
      <c r="A2" s="105"/>
      <c r="B2" s="105"/>
      <c r="C2" s="105"/>
      <c r="D2" s="105"/>
      <c r="E2" s="105"/>
      <c r="F2" s="105"/>
      <c r="G2" s="105"/>
      <c r="H2" s="105"/>
    </row>
    <row r="3" spans="1:8" ht="15.75" customHeight="1">
      <c r="A3" s="105"/>
      <c r="B3" s="105"/>
      <c r="C3" s="105"/>
      <c r="D3" s="105"/>
      <c r="E3" s="105"/>
      <c r="F3" s="105"/>
      <c r="G3" s="105"/>
      <c r="H3" s="105"/>
    </row>
    <row r="4" spans="2:6" ht="31.5" customHeight="1">
      <c r="B4" s="1" t="s">
        <v>42</v>
      </c>
      <c r="C4" s="2"/>
      <c r="D4" s="119" t="s">
        <v>141</v>
      </c>
      <c r="E4" s="101">
        <v>2722.06</v>
      </c>
      <c r="F4" s="2"/>
    </row>
    <row r="5" spans="2:6" ht="15.75">
      <c r="B5" s="3" t="s">
        <v>1</v>
      </c>
      <c r="C5" s="18">
        <v>5</v>
      </c>
      <c r="D5" s="2" t="s">
        <v>2</v>
      </c>
      <c r="E5" s="15" t="s">
        <v>121</v>
      </c>
      <c r="F5" s="2"/>
    </row>
    <row r="6" spans="2:7" ht="15.75">
      <c r="B6" s="3" t="s">
        <v>3</v>
      </c>
      <c r="C6" s="4">
        <v>4</v>
      </c>
      <c r="D6" s="2" t="s">
        <v>4</v>
      </c>
      <c r="E6" s="2" t="s">
        <v>16</v>
      </c>
      <c r="F6" s="2"/>
      <c r="G6" s="2"/>
    </row>
    <row r="7" spans="2:7" ht="16.5" thickBot="1">
      <c r="B7" s="3"/>
      <c r="C7" s="4"/>
      <c r="D7" s="2" t="s">
        <v>5</v>
      </c>
      <c r="E7" s="2" t="s">
        <v>16</v>
      </c>
      <c r="F7" s="2"/>
      <c r="G7" s="2"/>
    </row>
    <row r="8" spans="1:9" ht="88.5" customHeight="1">
      <c r="A8" s="22" t="s">
        <v>37</v>
      </c>
      <c r="B8" s="218" t="s">
        <v>56</v>
      </c>
      <c r="C8" s="218"/>
      <c r="D8" s="218"/>
      <c r="E8" s="23" t="s">
        <v>6</v>
      </c>
      <c r="F8" s="23" t="s">
        <v>7</v>
      </c>
      <c r="G8" s="108" t="s">
        <v>131</v>
      </c>
      <c r="H8" s="108" t="s">
        <v>132</v>
      </c>
      <c r="I8" s="25" t="s">
        <v>133</v>
      </c>
    </row>
    <row r="9" spans="1:9" ht="29.25" customHeight="1">
      <c r="A9" s="93">
        <v>1</v>
      </c>
      <c r="B9" s="220">
        <v>2</v>
      </c>
      <c r="C9" s="221"/>
      <c r="D9" s="222"/>
      <c r="E9" s="94">
        <v>3</v>
      </c>
      <c r="F9" s="94"/>
      <c r="G9" s="117">
        <v>4</v>
      </c>
      <c r="H9" s="118">
        <v>5</v>
      </c>
      <c r="I9" s="110" t="s">
        <v>134</v>
      </c>
    </row>
    <row r="10" spans="1:9" ht="21" customHeight="1">
      <c r="A10" s="26"/>
      <c r="B10" s="211" t="s">
        <v>45</v>
      </c>
      <c r="C10" s="211"/>
      <c r="D10" s="211"/>
      <c r="E10" s="211"/>
      <c r="F10" s="211"/>
      <c r="G10" s="27"/>
      <c r="H10" s="109"/>
      <c r="I10" s="110"/>
    </row>
    <row r="11" spans="1:9" ht="32.25" customHeight="1">
      <c r="A11" s="26">
        <v>1</v>
      </c>
      <c r="B11" s="219" t="s">
        <v>139</v>
      </c>
      <c r="C11" s="219"/>
      <c r="D11" s="219"/>
      <c r="E11" s="219"/>
      <c r="F11" s="219"/>
      <c r="G11" s="12">
        <f>G30</f>
        <v>10.91</v>
      </c>
      <c r="H11" s="111">
        <f>H30</f>
        <v>11.619999999999997</v>
      </c>
      <c r="I11" s="28">
        <f>ROUND($E$4*G11*6,0)+ROUND($E$4*H11*6,0)</f>
        <v>367968</v>
      </c>
    </row>
    <row r="12" spans="1:9" ht="15.75" customHeight="1">
      <c r="A12" s="26"/>
      <c r="B12" s="202" t="s">
        <v>47</v>
      </c>
      <c r="C12" s="202"/>
      <c r="D12" s="202"/>
      <c r="E12" s="202"/>
      <c r="F12" s="202"/>
      <c r="G12" s="12">
        <f>G31</f>
        <v>0.8</v>
      </c>
      <c r="H12" s="111">
        <v>0.85</v>
      </c>
      <c r="I12" s="28">
        <f aca="true" t="shared" si="0" ref="I12:I31">ROUND($E$4*G12*6,0)+ROUND($E$4*H12*6,0)</f>
        <v>26949</v>
      </c>
    </row>
    <row r="13" spans="1:9" ht="18.75">
      <c r="A13" s="26">
        <v>2</v>
      </c>
      <c r="B13" s="212" t="s">
        <v>38</v>
      </c>
      <c r="C13" s="212"/>
      <c r="D13" s="212"/>
      <c r="E13" s="212"/>
      <c r="F13" s="212"/>
      <c r="G13" s="29"/>
      <c r="H13" s="109"/>
      <c r="I13" s="28"/>
    </row>
    <row r="14" spans="1:9" ht="15.75">
      <c r="A14" s="26"/>
      <c r="B14" s="9" t="s">
        <v>39</v>
      </c>
      <c r="C14" s="9"/>
      <c r="D14" s="9"/>
      <c r="E14" s="9"/>
      <c r="F14" s="5"/>
      <c r="G14" s="7"/>
      <c r="H14" s="109"/>
      <c r="I14" s="28"/>
    </row>
    <row r="15" spans="1:9" ht="32.25" customHeight="1">
      <c r="A15" s="30"/>
      <c r="B15" s="207" t="s">
        <v>136</v>
      </c>
      <c r="C15" s="207"/>
      <c r="D15" s="207"/>
      <c r="E15" s="55" t="s">
        <v>31</v>
      </c>
      <c r="F15" s="31" t="s">
        <v>23</v>
      </c>
      <c r="G15" s="32">
        <v>1.12</v>
      </c>
      <c r="H15" s="112">
        <v>1.19</v>
      </c>
      <c r="I15" s="28">
        <f t="shared" si="0"/>
        <v>37728</v>
      </c>
    </row>
    <row r="16" spans="1:9" ht="15.75" customHeight="1">
      <c r="A16" s="30"/>
      <c r="B16" s="207" t="s">
        <v>17</v>
      </c>
      <c r="C16" s="207"/>
      <c r="D16" s="207"/>
      <c r="E16" s="55" t="s">
        <v>31</v>
      </c>
      <c r="F16" s="31" t="s">
        <v>18</v>
      </c>
      <c r="G16" s="32">
        <v>0.3</v>
      </c>
      <c r="H16" s="112">
        <v>0.32</v>
      </c>
      <c r="I16" s="28">
        <f t="shared" si="0"/>
        <v>10126</v>
      </c>
    </row>
    <row r="17" spans="1:9" ht="16.5" customHeight="1">
      <c r="A17" s="30"/>
      <c r="B17" s="208" t="s">
        <v>135</v>
      </c>
      <c r="C17" s="208"/>
      <c r="D17" s="208"/>
      <c r="E17" s="57" t="s">
        <v>67</v>
      </c>
      <c r="F17" s="33" t="s">
        <v>19</v>
      </c>
      <c r="G17" s="32">
        <v>0.11</v>
      </c>
      <c r="H17" s="112">
        <v>0.12</v>
      </c>
      <c r="I17" s="28">
        <f t="shared" si="0"/>
        <v>3757</v>
      </c>
    </row>
    <row r="18" spans="1:9" ht="16.5" customHeight="1">
      <c r="A18" s="30"/>
      <c r="B18" s="213" t="s">
        <v>30</v>
      </c>
      <c r="C18" s="213"/>
      <c r="D18" s="213"/>
      <c r="E18" s="58" t="s">
        <v>9</v>
      </c>
      <c r="F18" s="34" t="s">
        <v>10</v>
      </c>
      <c r="G18" s="32">
        <v>0.54</v>
      </c>
      <c r="H18" s="112">
        <v>0.58</v>
      </c>
      <c r="I18" s="28">
        <f t="shared" si="0"/>
        <v>18292</v>
      </c>
    </row>
    <row r="19" spans="1:9" ht="57" customHeight="1">
      <c r="A19" s="30"/>
      <c r="B19" s="208" t="s">
        <v>26</v>
      </c>
      <c r="C19" s="208"/>
      <c r="D19" s="208"/>
      <c r="E19" s="57" t="s">
        <v>32</v>
      </c>
      <c r="F19" s="33" t="s">
        <v>24</v>
      </c>
      <c r="G19" s="32">
        <v>0.13</v>
      </c>
      <c r="H19" s="112">
        <v>0.14</v>
      </c>
      <c r="I19" s="28">
        <f t="shared" si="0"/>
        <v>4410</v>
      </c>
    </row>
    <row r="20" spans="1:9" ht="22.5" customHeight="1">
      <c r="A20" s="30"/>
      <c r="B20" s="208" t="s">
        <v>11</v>
      </c>
      <c r="C20" s="208"/>
      <c r="D20" s="208"/>
      <c r="E20" s="57" t="s">
        <v>9</v>
      </c>
      <c r="F20" s="33" t="s">
        <v>12</v>
      </c>
      <c r="G20" s="103">
        <v>0</v>
      </c>
      <c r="H20" s="115">
        <v>0</v>
      </c>
      <c r="I20" s="28">
        <f t="shared" si="0"/>
        <v>0</v>
      </c>
    </row>
    <row r="21" spans="1:9" ht="15.75" customHeight="1">
      <c r="A21" s="30"/>
      <c r="B21" s="208" t="s">
        <v>25</v>
      </c>
      <c r="C21" s="203"/>
      <c r="D21" s="203"/>
      <c r="E21" s="59" t="s">
        <v>13</v>
      </c>
      <c r="F21" s="29" t="s">
        <v>14</v>
      </c>
      <c r="G21" s="32">
        <v>0.05</v>
      </c>
      <c r="H21" s="112">
        <v>0.05</v>
      </c>
      <c r="I21" s="28">
        <f t="shared" si="0"/>
        <v>1634</v>
      </c>
    </row>
    <row r="22" spans="1:9" ht="28.5" customHeight="1">
      <c r="A22" s="30"/>
      <c r="B22" s="208" t="s">
        <v>33</v>
      </c>
      <c r="C22" s="208"/>
      <c r="D22" s="208"/>
      <c r="E22" s="55" t="s">
        <v>34</v>
      </c>
      <c r="F22" s="33" t="s">
        <v>41</v>
      </c>
      <c r="G22" s="32">
        <v>1.63</v>
      </c>
      <c r="H22" s="112">
        <v>1.74</v>
      </c>
      <c r="I22" s="28">
        <f t="shared" si="0"/>
        <v>55040</v>
      </c>
    </row>
    <row r="23" spans="1:9" ht="51">
      <c r="A23" s="30"/>
      <c r="B23" s="207" t="s">
        <v>15</v>
      </c>
      <c r="C23" s="207"/>
      <c r="D23" s="207"/>
      <c r="E23" s="55" t="s">
        <v>49</v>
      </c>
      <c r="F23" s="33" t="s">
        <v>41</v>
      </c>
      <c r="G23" s="32">
        <v>0.47</v>
      </c>
      <c r="H23" s="112">
        <v>0.5</v>
      </c>
      <c r="I23" s="28">
        <f t="shared" si="0"/>
        <v>15842</v>
      </c>
    </row>
    <row r="24" spans="1:9" ht="28.5" customHeight="1">
      <c r="A24" s="30"/>
      <c r="B24" s="208" t="s">
        <v>35</v>
      </c>
      <c r="C24" s="203"/>
      <c r="D24" s="203"/>
      <c r="E24" s="55" t="s">
        <v>34</v>
      </c>
      <c r="F24" s="33" t="s">
        <v>41</v>
      </c>
      <c r="G24" s="32">
        <f>4.32-G25-G26</f>
        <v>4.32</v>
      </c>
      <c r="H24" s="32">
        <f>4.6-H25-H26</f>
        <v>4.6</v>
      </c>
      <c r="I24" s="28">
        <f t="shared" si="0"/>
        <v>145685</v>
      </c>
    </row>
    <row r="25" spans="1:9" ht="26.25" customHeight="1">
      <c r="A25" s="30"/>
      <c r="B25" s="208" t="s">
        <v>27</v>
      </c>
      <c r="C25" s="208"/>
      <c r="D25" s="208"/>
      <c r="E25" s="55" t="s">
        <v>34</v>
      </c>
      <c r="F25" s="33" t="s">
        <v>41</v>
      </c>
      <c r="G25" s="103">
        <v>0</v>
      </c>
      <c r="H25" s="115">
        <v>0</v>
      </c>
      <c r="I25" s="28">
        <f t="shared" si="0"/>
        <v>0</v>
      </c>
    </row>
    <row r="26" spans="1:9" ht="26.25" customHeight="1">
      <c r="A26" s="30"/>
      <c r="B26" s="208" t="s">
        <v>28</v>
      </c>
      <c r="C26" s="208"/>
      <c r="D26" s="208"/>
      <c r="E26" s="55" t="s">
        <v>34</v>
      </c>
      <c r="F26" s="33" t="s">
        <v>41</v>
      </c>
      <c r="G26" s="103">
        <v>0</v>
      </c>
      <c r="H26" s="115">
        <v>0</v>
      </c>
      <c r="I26" s="28">
        <f t="shared" si="0"/>
        <v>0</v>
      </c>
    </row>
    <row r="27" spans="1:9" ht="25.5">
      <c r="A27" s="30"/>
      <c r="B27" s="203" t="s">
        <v>137</v>
      </c>
      <c r="C27" s="203"/>
      <c r="D27" s="203"/>
      <c r="E27" s="55" t="s">
        <v>34</v>
      </c>
      <c r="F27" s="33" t="s">
        <v>41</v>
      </c>
      <c r="G27" s="32">
        <v>1.12</v>
      </c>
      <c r="H27" s="112">
        <v>1.19</v>
      </c>
      <c r="I27" s="28">
        <f t="shared" si="0"/>
        <v>37728</v>
      </c>
    </row>
    <row r="28" spans="1:9" ht="15.75">
      <c r="A28" s="26"/>
      <c r="B28" s="209" t="s">
        <v>29</v>
      </c>
      <c r="C28" s="209"/>
      <c r="D28" s="209"/>
      <c r="E28" s="7"/>
      <c r="F28" s="33"/>
      <c r="G28" s="10">
        <f>SUM(G15:G27)</f>
        <v>9.79</v>
      </c>
      <c r="H28" s="10">
        <f>SUM(H15:H27)</f>
        <v>10.429999999999998</v>
      </c>
      <c r="I28" s="28">
        <f t="shared" si="0"/>
        <v>330241</v>
      </c>
    </row>
    <row r="29" spans="1:9" ht="15.75" customHeight="1">
      <c r="A29" s="26">
        <v>3</v>
      </c>
      <c r="B29" s="202" t="s">
        <v>36</v>
      </c>
      <c r="C29" s="203"/>
      <c r="D29" s="203"/>
      <c r="E29" s="114" t="s">
        <v>113</v>
      </c>
      <c r="F29" s="35" t="s">
        <v>50</v>
      </c>
      <c r="G29" s="12">
        <v>1.12</v>
      </c>
      <c r="H29" s="111">
        <v>1.19</v>
      </c>
      <c r="I29" s="28">
        <f t="shared" si="0"/>
        <v>37728</v>
      </c>
    </row>
    <row r="30" spans="1:9" ht="15.75">
      <c r="A30" s="26"/>
      <c r="B30" s="204" t="s">
        <v>40</v>
      </c>
      <c r="C30" s="204"/>
      <c r="D30" s="204"/>
      <c r="E30" s="204"/>
      <c r="F30" s="204"/>
      <c r="G30" s="12">
        <f>SUM(G28:G29)</f>
        <v>10.91</v>
      </c>
      <c r="H30" s="12">
        <f>SUM(H28:H29)</f>
        <v>11.619999999999997</v>
      </c>
      <c r="I30" s="28">
        <f t="shared" si="0"/>
        <v>367968</v>
      </c>
    </row>
    <row r="31" spans="1:9" ht="16.5" thickBot="1">
      <c r="A31" s="90">
        <v>4</v>
      </c>
      <c r="B31" s="205" t="s">
        <v>51</v>
      </c>
      <c r="C31" s="205"/>
      <c r="D31" s="205"/>
      <c r="E31" s="116" t="s">
        <v>113</v>
      </c>
      <c r="F31" s="36" t="s">
        <v>50</v>
      </c>
      <c r="G31" s="106">
        <v>0.8</v>
      </c>
      <c r="H31" s="113">
        <v>0.85</v>
      </c>
      <c r="I31" s="104">
        <f t="shared" si="0"/>
        <v>26949</v>
      </c>
    </row>
    <row r="32" spans="1:6" ht="47.25" customHeight="1">
      <c r="A32" s="216" t="s">
        <v>138</v>
      </c>
      <c r="B32" s="216"/>
      <c r="C32" s="216"/>
      <c r="D32" s="216"/>
      <c r="E32" s="216"/>
      <c r="F32" s="92"/>
    </row>
    <row r="33" spans="1:6" ht="15.75">
      <c r="A33" s="91"/>
      <c r="B33" s="206"/>
      <c r="C33" s="206"/>
      <c r="D33" s="206"/>
      <c r="E33" s="206"/>
      <c r="F33" s="206"/>
    </row>
    <row r="34" spans="1:8" ht="15.75" customHeight="1">
      <c r="A34" s="91"/>
      <c r="B34" s="201"/>
      <c r="C34" s="201"/>
      <c r="D34" s="201"/>
      <c r="E34" s="201"/>
      <c r="F34" s="201"/>
      <c r="H34" t="s">
        <v>103</v>
      </c>
    </row>
    <row r="35" spans="1:6" ht="15.75" customHeight="1">
      <c r="A35" s="91"/>
      <c r="B35" s="201"/>
      <c r="C35" s="201"/>
      <c r="D35" s="201"/>
      <c r="E35" s="201"/>
      <c r="F35" s="201"/>
    </row>
    <row r="36" spans="2:8" ht="15.75">
      <c r="B36" s="17" t="s">
        <v>140</v>
      </c>
      <c r="C36" s="17"/>
      <c r="D36" s="17"/>
      <c r="E36" s="17"/>
      <c r="F36" s="17"/>
      <c r="G36" s="17"/>
      <c r="H36" s="17"/>
    </row>
    <row r="38" ht="15.75">
      <c r="H38" t="s">
        <v>103</v>
      </c>
    </row>
    <row r="47" ht="15.75">
      <c r="E47" t="s">
        <v>103</v>
      </c>
    </row>
  </sheetData>
  <sheetProtection/>
  <mergeCells count="28">
    <mergeCell ref="B34:F34"/>
    <mergeCell ref="B35:F35"/>
    <mergeCell ref="A32:E32"/>
    <mergeCell ref="B29:D29"/>
    <mergeCell ref="B30:F30"/>
    <mergeCell ref="B31:D31"/>
    <mergeCell ref="B33:F33"/>
    <mergeCell ref="B25:D25"/>
    <mergeCell ref="B26:D26"/>
    <mergeCell ref="B27:D27"/>
    <mergeCell ref="B28:D28"/>
    <mergeCell ref="B21:D21"/>
    <mergeCell ref="B22:D22"/>
    <mergeCell ref="B23:D23"/>
    <mergeCell ref="B24:D24"/>
    <mergeCell ref="B18:D18"/>
    <mergeCell ref="B19:D19"/>
    <mergeCell ref="B20:D20"/>
    <mergeCell ref="B12:F12"/>
    <mergeCell ref="B13:F13"/>
    <mergeCell ref="B15:D15"/>
    <mergeCell ref="B16:D16"/>
    <mergeCell ref="B17:D17"/>
    <mergeCell ref="B8:D8"/>
    <mergeCell ref="B10:F10"/>
    <mergeCell ref="B11:F11"/>
    <mergeCell ref="A1:I1"/>
    <mergeCell ref="B9:D9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3">
      <selection activeCell="G45" sqref="G45"/>
    </sheetView>
  </sheetViews>
  <sheetFormatPr defaultColWidth="9.00390625" defaultRowHeight="15.75"/>
  <cols>
    <col min="1" max="1" width="3.75390625" style="0" customWidth="1"/>
    <col min="2" max="2" width="27.75390625" style="0" customWidth="1"/>
    <col min="3" max="3" width="3.50390625" style="0" customWidth="1"/>
    <col min="4" max="4" width="22.00390625" style="0" customWidth="1"/>
    <col min="5" max="5" width="30.125" style="0" customWidth="1"/>
    <col min="6" max="6" width="22.50390625" style="0" hidden="1" customWidth="1"/>
    <col min="7" max="7" width="9.375" style="0" bestFit="1" customWidth="1"/>
    <col min="8" max="8" width="10.625" style="0" bestFit="1" customWidth="1"/>
    <col min="9" max="9" width="11.625" style="0" bestFit="1" customWidth="1"/>
    <col min="10" max="10" width="18.50390625" style="0" customWidth="1"/>
  </cols>
  <sheetData>
    <row r="1" spans="1:10" ht="123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85.5" customHeight="1">
      <c r="A2" s="191" t="s">
        <v>143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2:10" ht="31.5">
      <c r="B3" s="1" t="s">
        <v>42</v>
      </c>
      <c r="C3" s="2"/>
      <c r="D3" s="119" t="s">
        <v>144</v>
      </c>
      <c r="E3" s="101">
        <v>2722.06</v>
      </c>
      <c r="F3" s="2"/>
      <c r="I3" s="43"/>
      <c r="J3" s="43"/>
    </row>
    <row r="4" spans="2:6" ht="15.75">
      <c r="B4" s="3" t="s">
        <v>1</v>
      </c>
      <c r="C4" s="18">
        <v>5</v>
      </c>
      <c r="D4" s="2" t="s">
        <v>2</v>
      </c>
      <c r="E4" s="15">
        <v>59</v>
      </c>
      <c r="F4" s="2"/>
    </row>
    <row r="5" spans="2:9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I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48.75" customHeight="1">
      <c r="A7" s="120" t="s">
        <v>37</v>
      </c>
      <c r="B7" s="192" t="s">
        <v>56</v>
      </c>
      <c r="C7" s="193"/>
      <c r="D7" s="194"/>
      <c r="E7" s="6" t="s">
        <v>6</v>
      </c>
      <c r="F7" s="6" t="s">
        <v>7</v>
      </c>
      <c r="G7" s="45" t="s">
        <v>145</v>
      </c>
      <c r="H7" s="195" t="s">
        <v>146</v>
      </c>
      <c r="I7" s="196"/>
      <c r="J7" s="197"/>
    </row>
    <row r="8" spans="1:10" ht="15.75">
      <c r="A8" s="11">
        <v>1</v>
      </c>
      <c r="B8" s="211"/>
      <c r="C8" s="211"/>
      <c r="D8" s="211"/>
      <c r="E8" s="211"/>
      <c r="F8" s="211"/>
      <c r="G8" s="46"/>
      <c r="H8" s="49" t="s">
        <v>58</v>
      </c>
      <c r="I8" s="48" t="s">
        <v>59</v>
      </c>
      <c r="J8" s="48" t="s">
        <v>60</v>
      </c>
    </row>
    <row r="9" spans="1:10" ht="15.75">
      <c r="A9" s="11"/>
      <c r="B9" s="211" t="s">
        <v>61</v>
      </c>
      <c r="C9" s="211"/>
      <c r="D9" s="211"/>
      <c r="E9" s="211"/>
      <c r="F9" s="211"/>
      <c r="G9" s="49"/>
      <c r="H9" s="49"/>
      <c r="I9" s="37"/>
      <c r="J9" s="48"/>
    </row>
    <row r="10" spans="1:10" ht="15.75">
      <c r="A10" s="50"/>
      <c r="B10" s="232" t="s">
        <v>62</v>
      </c>
      <c r="C10" s="232"/>
      <c r="D10" s="232"/>
      <c r="E10" s="232"/>
      <c r="F10" s="232"/>
      <c r="G10" s="121"/>
      <c r="H10" s="122">
        <v>141563.81</v>
      </c>
      <c r="I10" s="27"/>
      <c r="J10" s="123">
        <f>H10+I10</f>
        <v>141563.81</v>
      </c>
    </row>
    <row r="11" spans="1:10" ht="15.75">
      <c r="A11" s="50"/>
      <c r="B11" s="232" t="s">
        <v>63</v>
      </c>
      <c r="C11" s="232"/>
      <c r="D11" s="232"/>
      <c r="E11" s="232"/>
      <c r="F11" s="232"/>
      <c r="G11" s="121"/>
      <c r="H11" s="124">
        <v>8098.86</v>
      </c>
      <c r="I11" s="27"/>
      <c r="J11" s="123">
        <f>H11+I11</f>
        <v>8098.86</v>
      </c>
    </row>
    <row r="12" spans="1:10" ht="15.75">
      <c r="A12" s="11"/>
      <c r="B12" s="232" t="s">
        <v>64</v>
      </c>
      <c r="C12" s="232"/>
      <c r="D12" s="232"/>
      <c r="E12" s="232"/>
      <c r="F12" s="232"/>
      <c r="G12" s="121"/>
      <c r="H12" s="122"/>
      <c r="I12" s="27">
        <v>19046.67</v>
      </c>
      <c r="J12" s="123">
        <f>H12+I12</f>
        <v>19046.67</v>
      </c>
    </row>
    <row r="13" spans="1:10" ht="15.75">
      <c r="A13" s="11"/>
      <c r="B13" s="232" t="s">
        <v>147</v>
      </c>
      <c r="C13" s="232"/>
      <c r="D13" s="232"/>
      <c r="E13" s="232"/>
      <c r="F13" s="232"/>
      <c r="G13" s="121"/>
      <c r="H13" s="122"/>
      <c r="I13" s="52">
        <v>0</v>
      </c>
      <c r="J13" s="123">
        <f>H13+I13</f>
        <v>0</v>
      </c>
    </row>
    <row r="14" spans="1:10" ht="15.75">
      <c r="A14" s="11"/>
      <c r="B14" s="219" t="s">
        <v>66</v>
      </c>
      <c r="C14" s="219"/>
      <c r="D14" s="219"/>
      <c r="E14" s="219"/>
      <c r="F14" s="219"/>
      <c r="G14" s="121"/>
      <c r="H14" s="19">
        <f>SUM(H10:H12)</f>
        <v>149662.66999999998</v>
      </c>
      <c r="I14" s="53">
        <f>SUM(I12:I13)</f>
        <v>19046.67</v>
      </c>
      <c r="J14" s="19">
        <f>SUM(J10:J13)</f>
        <v>168709.33999999997</v>
      </c>
    </row>
    <row r="15" spans="1:10" ht="18.75">
      <c r="A15" s="11">
        <v>2</v>
      </c>
      <c r="B15" s="212" t="s">
        <v>38</v>
      </c>
      <c r="C15" s="212"/>
      <c r="D15" s="212"/>
      <c r="E15" s="212"/>
      <c r="F15" s="212"/>
      <c r="G15" s="121"/>
      <c r="H15" s="122"/>
      <c r="I15" s="27"/>
      <c r="J15" s="39"/>
    </row>
    <row r="16" spans="1:10" ht="15.75">
      <c r="A16" s="11"/>
      <c r="B16" s="9" t="s">
        <v>39</v>
      </c>
      <c r="C16" s="9"/>
      <c r="D16" s="9"/>
      <c r="E16" s="9"/>
      <c r="F16" s="5"/>
      <c r="G16" s="47"/>
      <c r="H16" s="47"/>
      <c r="I16" s="44"/>
      <c r="J16" s="48"/>
    </row>
    <row r="17" spans="1:10" ht="30" customHeight="1">
      <c r="A17" s="54"/>
      <c r="B17" s="234" t="s">
        <v>148</v>
      </c>
      <c r="C17" s="234"/>
      <c r="D17" s="234"/>
      <c r="E17" s="55" t="s">
        <v>31</v>
      </c>
      <c r="F17" s="125" t="s">
        <v>23</v>
      </c>
      <c r="G17" s="126">
        <v>1.12</v>
      </c>
      <c r="H17" s="127">
        <f>ROUND(G17*$E$3*5,2)</f>
        <v>15243.54</v>
      </c>
      <c r="I17" s="74"/>
      <c r="J17" s="53">
        <f>SUM(H17:I17)</f>
        <v>15243.54</v>
      </c>
    </row>
    <row r="18" spans="1:10" ht="17.25" customHeight="1">
      <c r="A18" s="11"/>
      <c r="B18" s="235" t="s">
        <v>17</v>
      </c>
      <c r="C18" s="235"/>
      <c r="D18" s="235"/>
      <c r="E18" s="55" t="s">
        <v>31</v>
      </c>
      <c r="F18" s="125" t="s">
        <v>18</v>
      </c>
      <c r="G18" s="126">
        <v>0.3</v>
      </c>
      <c r="H18" s="127">
        <f>ROUND(G18*$E$3*5,2)</f>
        <v>4083.09</v>
      </c>
      <c r="I18" s="74"/>
      <c r="J18" s="53">
        <f>SUM(H18:I18)</f>
        <v>4083.09</v>
      </c>
    </row>
    <row r="19" spans="1:10" ht="18" customHeight="1">
      <c r="A19" s="11"/>
      <c r="B19" s="233" t="s">
        <v>22</v>
      </c>
      <c r="C19" s="233"/>
      <c r="D19" s="233"/>
      <c r="E19" s="57" t="s">
        <v>67</v>
      </c>
      <c r="F19" s="128" t="s">
        <v>19</v>
      </c>
      <c r="G19" s="126">
        <v>0.41</v>
      </c>
      <c r="H19" s="132">
        <v>690.8</v>
      </c>
      <c r="I19" s="74"/>
      <c r="J19" s="75">
        <f>H19+I19</f>
        <v>690.8</v>
      </c>
    </row>
    <row r="20" spans="1:10" ht="18" customHeight="1">
      <c r="A20" s="54"/>
      <c r="B20" s="234" t="s">
        <v>30</v>
      </c>
      <c r="C20" s="234"/>
      <c r="D20" s="234"/>
      <c r="E20" s="58" t="s">
        <v>9</v>
      </c>
      <c r="F20" s="129" t="s">
        <v>10</v>
      </c>
      <c r="G20" s="126">
        <v>0.54</v>
      </c>
      <c r="H20" s="127">
        <f>ROUND(G20*$E$3*5,2)</f>
        <v>7349.56</v>
      </c>
      <c r="I20" s="74"/>
      <c r="J20" s="53">
        <f>SUM(H20:I20)</f>
        <v>7349.56</v>
      </c>
    </row>
    <row r="21" spans="1:10" ht="52.5" customHeight="1">
      <c r="A21" s="11"/>
      <c r="B21" s="233" t="s">
        <v>26</v>
      </c>
      <c r="C21" s="233"/>
      <c r="D21" s="233"/>
      <c r="E21" s="57" t="s">
        <v>68</v>
      </c>
      <c r="F21" s="128" t="s">
        <v>24</v>
      </c>
      <c r="G21" s="126">
        <v>0.13</v>
      </c>
      <c r="H21" s="127">
        <v>0</v>
      </c>
      <c r="I21" s="74"/>
      <c r="J21" s="75">
        <f>H21+I21</f>
        <v>0</v>
      </c>
    </row>
    <row r="22" spans="1:10" ht="18" customHeight="1">
      <c r="A22" s="54"/>
      <c r="B22" s="233" t="s">
        <v>11</v>
      </c>
      <c r="C22" s="233"/>
      <c r="D22" s="233"/>
      <c r="E22" s="57" t="s">
        <v>9</v>
      </c>
      <c r="F22" s="128" t="s">
        <v>12</v>
      </c>
      <c r="G22" s="130">
        <v>0</v>
      </c>
      <c r="H22" s="127">
        <f>ROUND(G22*$E$3*5,2)</f>
        <v>0</v>
      </c>
      <c r="I22" s="127"/>
      <c r="J22" s="53">
        <f>SUM(H22:I22)</f>
        <v>0</v>
      </c>
    </row>
    <row r="23" spans="1:10" ht="18.75" customHeight="1">
      <c r="A23" s="54"/>
      <c r="B23" s="233" t="s">
        <v>25</v>
      </c>
      <c r="C23" s="225"/>
      <c r="D23" s="225"/>
      <c r="E23" s="59" t="s">
        <v>13</v>
      </c>
      <c r="F23" s="131" t="s">
        <v>14</v>
      </c>
      <c r="G23" s="126">
        <v>0.05</v>
      </c>
      <c r="H23" s="127">
        <v>1634.7</v>
      </c>
      <c r="I23" s="74"/>
      <c r="J23" s="75">
        <f>H23+I23</f>
        <v>1634.7</v>
      </c>
    </row>
    <row r="24" spans="1:10" ht="26.25" customHeight="1">
      <c r="A24" s="11"/>
      <c r="B24" s="233" t="s">
        <v>69</v>
      </c>
      <c r="C24" s="233"/>
      <c r="D24" s="233"/>
      <c r="E24" s="55" t="s">
        <v>34</v>
      </c>
      <c r="F24" s="60" t="s">
        <v>41</v>
      </c>
      <c r="G24" s="126">
        <v>1.63</v>
      </c>
      <c r="H24" s="127">
        <f>ROUND(G24*$E$3*5,2)</f>
        <v>22184.79</v>
      </c>
      <c r="I24" s="74"/>
      <c r="J24" s="53">
        <f aca="true" t="shared" si="0" ref="J24:J29">SUM(H24:I24)</f>
        <v>22184.79</v>
      </c>
    </row>
    <row r="25" spans="1:10" ht="39" customHeight="1">
      <c r="A25" s="11"/>
      <c r="B25" s="235" t="s">
        <v>15</v>
      </c>
      <c r="C25" s="235"/>
      <c r="D25" s="235"/>
      <c r="E25" s="55" t="s">
        <v>49</v>
      </c>
      <c r="F25" s="60" t="s">
        <v>41</v>
      </c>
      <c r="G25" s="126">
        <v>0.47</v>
      </c>
      <c r="H25" s="132">
        <v>5943.15</v>
      </c>
      <c r="I25" s="74"/>
      <c r="J25" s="133">
        <f>H25+I25</f>
        <v>5943.15</v>
      </c>
    </row>
    <row r="26" spans="1:10" ht="30" customHeight="1">
      <c r="A26" s="11"/>
      <c r="B26" s="238" t="s">
        <v>149</v>
      </c>
      <c r="C26" s="227"/>
      <c r="D26" s="228"/>
      <c r="E26" s="55" t="s">
        <v>34</v>
      </c>
      <c r="F26" s="60" t="s">
        <v>41</v>
      </c>
      <c r="G26" s="126">
        <f>4.32-G27-G28</f>
        <v>4.32</v>
      </c>
      <c r="H26" s="132">
        <f>ROUND(G26*$E$3*5,2)</f>
        <v>58796.5</v>
      </c>
      <c r="I26" s="76"/>
      <c r="J26" s="53">
        <f t="shared" si="0"/>
        <v>58796.5</v>
      </c>
    </row>
    <row r="27" spans="1:10" ht="26.25" customHeight="1">
      <c r="A27" s="54"/>
      <c r="B27" s="233" t="s">
        <v>70</v>
      </c>
      <c r="C27" s="233"/>
      <c r="D27" s="233"/>
      <c r="E27" s="55" t="s">
        <v>34</v>
      </c>
      <c r="F27" s="60" t="s">
        <v>41</v>
      </c>
      <c r="G27" s="130">
        <v>0</v>
      </c>
      <c r="H27" s="132">
        <f>ROUND(G27*$E$3*5,2)</f>
        <v>0</v>
      </c>
      <c r="I27" s="76"/>
      <c r="J27" s="53">
        <f t="shared" si="0"/>
        <v>0</v>
      </c>
    </row>
    <row r="28" spans="1:10" ht="18" customHeight="1">
      <c r="A28" s="11"/>
      <c r="B28" s="233" t="s">
        <v>71</v>
      </c>
      <c r="C28" s="233"/>
      <c r="D28" s="233"/>
      <c r="E28" s="57" t="s">
        <v>9</v>
      </c>
      <c r="F28" s="60" t="s">
        <v>41</v>
      </c>
      <c r="G28" s="130">
        <v>0</v>
      </c>
      <c r="H28" s="132">
        <f>ROUND(G28*$E$3*5,2)</f>
        <v>0</v>
      </c>
      <c r="I28" s="76"/>
      <c r="J28" s="53">
        <f t="shared" si="0"/>
        <v>0</v>
      </c>
    </row>
    <row r="29" spans="1:10" ht="29.25" customHeight="1">
      <c r="A29" s="11"/>
      <c r="B29" s="225" t="s">
        <v>20</v>
      </c>
      <c r="C29" s="225"/>
      <c r="D29" s="225"/>
      <c r="E29" s="55" t="s">
        <v>34</v>
      </c>
      <c r="F29" s="60" t="s">
        <v>41</v>
      </c>
      <c r="G29" s="126">
        <v>1.12</v>
      </c>
      <c r="H29" s="127">
        <f>ROUND(G29*$E$3*5,2)</f>
        <v>15243.54</v>
      </c>
      <c r="I29" s="74"/>
      <c r="J29" s="53">
        <f t="shared" si="0"/>
        <v>15243.54</v>
      </c>
    </row>
    <row r="30" spans="1:10" ht="18" customHeight="1" hidden="1">
      <c r="A30" s="11"/>
      <c r="B30" s="226" t="s">
        <v>72</v>
      </c>
      <c r="C30" s="227"/>
      <c r="D30" s="228"/>
      <c r="E30" s="57" t="s">
        <v>9</v>
      </c>
      <c r="F30" s="60"/>
      <c r="G30" s="131"/>
      <c r="H30" s="132"/>
      <c r="I30" s="52"/>
      <c r="J30" s="63"/>
    </row>
    <row r="31" spans="1:10" ht="26.25" customHeight="1" hidden="1">
      <c r="A31" s="11"/>
      <c r="B31" s="226" t="s">
        <v>73</v>
      </c>
      <c r="C31" s="227"/>
      <c r="D31" s="228"/>
      <c r="E31" s="55" t="s">
        <v>34</v>
      </c>
      <c r="F31" s="60"/>
      <c r="G31" s="131"/>
      <c r="H31" s="132"/>
      <c r="I31" s="52"/>
      <c r="J31" s="63"/>
    </row>
    <row r="32" spans="1:10" ht="15.75" hidden="1">
      <c r="A32" s="11"/>
      <c r="B32" s="229"/>
      <c r="C32" s="230"/>
      <c r="D32" s="231"/>
      <c r="E32" s="57"/>
      <c r="F32" s="60"/>
      <c r="G32" s="131"/>
      <c r="H32" s="132"/>
      <c r="I32" s="52"/>
      <c r="J32" s="63"/>
    </row>
    <row r="33" spans="1:10" ht="15.75">
      <c r="A33" s="11"/>
      <c r="B33" s="229"/>
      <c r="C33" s="230"/>
      <c r="D33" s="231"/>
      <c r="E33" s="57"/>
      <c r="F33" s="60"/>
      <c r="G33" s="131"/>
      <c r="H33" s="132"/>
      <c r="I33" s="52"/>
      <c r="J33" s="63"/>
    </row>
    <row r="34" spans="1:10" ht="19.5" customHeight="1">
      <c r="A34" s="11"/>
      <c r="B34" s="209" t="s">
        <v>29</v>
      </c>
      <c r="C34" s="209"/>
      <c r="D34" s="209"/>
      <c r="E34" s="7"/>
      <c r="F34" s="134"/>
      <c r="G34" s="10">
        <f>SUM(G17:G29)</f>
        <v>10.09</v>
      </c>
      <c r="H34" s="64">
        <f>SUM(H17:H33)</f>
        <v>131169.67</v>
      </c>
      <c r="I34" s="64"/>
      <c r="J34" s="64">
        <f>SUM(J17:J33)</f>
        <v>131169.67</v>
      </c>
    </row>
    <row r="35" spans="1:10" ht="19.5" customHeight="1" hidden="1">
      <c r="A35" s="11"/>
      <c r="B35" s="7"/>
      <c r="C35" s="7"/>
      <c r="D35" s="7"/>
      <c r="E35" s="7"/>
      <c r="F35" s="134"/>
      <c r="G35" s="10"/>
      <c r="H35" s="64"/>
      <c r="I35" s="64"/>
      <c r="J35" s="64"/>
    </row>
    <row r="36" spans="1:10" ht="19.5" customHeight="1" hidden="1">
      <c r="A36" s="11"/>
      <c r="B36" s="7"/>
      <c r="C36" s="7"/>
      <c r="D36" s="7"/>
      <c r="E36" s="7"/>
      <c r="F36" s="134"/>
      <c r="G36" s="10"/>
      <c r="H36" s="64"/>
      <c r="I36" s="64"/>
      <c r="J36" s="64"/>
    </row>
    <row r="37" spans="1:10" ht="19.5" customHeight="1" hidden="1">
      <c r="A37" s="11"/>
      <c r="B37" s="7"/>
      <c r="C37" s="7"/>
      <c r="D37" s="7"/>
      <c r="E37" s="7"/>
      <c r="F37" s="134"/>
      <c r="G37" s="10"/>
      <c r="H37" s="64"/>
      <c r="I37" s="64"/>
      <c r="J37" s="64"/>
    </row>
    <row r="38" spans="1:10" ht="18.75" customHeight="1">
      <c r="A38" s="11">
        <v>3</v>
      </c>
      <c r="B38" s="202" t="s">
        <v>161</v>
      </c>
      <c r="C38" s="202"/>
      <c r="D38" s="202"/>
      <c r="E38" s="143" t="s">
        <v>113</v>
      </c>
      <c r="F38" s="134" t="s">
        <v>41</v>
      </c>
      <c r="G38" s="12">
        <f>H38/E3/5</f>
        <v>11.37190216233294</v>
      </c>
      <c r="H38" s="135">
        <v>154775</v>
      </c>
      <c r="I38" s="136"/>
      <c r="J38" s="137">
        <f>H38+I38</f>
        <v>154775</v>
      </c>
    </row>
    <row r="39" spans="1:10" ht="18" customHeight="1">
      <c r="A39" s="13"/>
      <c r="B39" s="223" t="s">
        <v>40</v>
      </c>
      <c r="C39" s="223"/>
      <c r="D39" s="223"/>
      <c r="E39" s="223"/>
      <c r="F39" s="223"/>
      <c r="G39" s="10">
        <f>SUM(G34:G38)</f>
        <v>21.46190216233294</v>
      </c>
      <c r="H39" s="21">
        <f>SUM(H34:H38)</f>
        <v>285944.67000000004</v>
      </c>
      <c r="I39" s="21"/>
      <c r="J39" s="21">
        <f>J34+J38</f>
        <v>285944.67000000004</v>
      </c>
    </row>
    <row r="40" spans="1:10" ht="15.75">
      <c r="A40" s="11">
        <v>4</v>
      </c>
      <c r="B40" s="237" t="s">
        <v>162</v>
      </c>
      <c r="C40" s="237"/>
      <c r="D40" s="237"/>
      <c r="E40" s="143" t="s">
        <v>113</v>
      </c>
      <c r="F40" s="142"/>
      <c r="G40" s="68"/>
      <c r="H40" s="69">
        <v>0</v>
      </c>
      <c r="I40" s="69"/>
      <c r="J40" s="70">
        <f>SUM(H40:I40)</f>
        <v>0</v>
      </c>
    </row>
    <row r="41" spans="1:10" ht="16.5" customHeight="1">
      <c r="A41" s="13"/>
      <c r="B41" s="223" t="s">
        <v>76</v>
      </c>
      <c r="C41" s="223"/>
      <c r="D41" s="223"/>
      <c r="E41" s="223"/>
      <c r="F41" s="223"/>
      <c r="G41" s="10">
        <f>SUM(G39:G40)</f>
        <v>21.46190216233294</v>
      </c>
      <c r="H41" s="21">
        <f>SUM(H39:H40)</f>
        <v>285944.67000000004</v>
      </c>
      <c r="I41" s="21"/>
      <c r="J41" s="21">
        <f>SUM(J39:J40)</f>
        <v>285944.67000000004</v>
      </c>
    </row>
    <row r="42" spans="1:10" ht="15.75">
      <c r="A42" s="11">
        <v>5</v>
      </c>
      <c r="B42" s="224" t="s">
        <v>150</v>
      </c>
      <c r="C42" s="224"/>
      <c r="D42" s="224"/>
      <c r="E42" s="224"/>
      <c r="F42" s="224"/>
      <c r="G42" s="224"/>
      <c r="H42" s="138">
        <f>H14-H41</f>
        <v>-136282.00000000006</v>
      </c>
      <c r="I42" s="127"/>
      <c r="J42" s="70">
        <f>J14-J41</f>
        <v>-117235.33000000007</v>
      </c>
    </row>
    <row r="44" spans="2:5" ht="15.75">
      <c r="B44" s="42" t="s">
        <v>77</v>
      </c>
      <c r="C44" s="42"/>
      <c r="D44" s="42"/>
      <c r="E44" s="17"/>
    </row>
    <row r="45" spans="2:4" ht="15.75">
      <c r="B45" s="42"/>
      <c r="C45" s="42"/>
      <c r="D45" s="42"/>
    </row>
    <row r="46" spans="2:4" ht="15.75">
      <c r="B46" s="71" t="s">
        <v>151</v>
      </c>
      <c r="C46" s="71"/>
      <c r="D46" s="41"/>
    </row>
    <row r="47" spans="2:4" ht="15.75">
      <c r="B47" s="159" t="s">
        <v>78</v>
      </c>
      <c r="C47" s="159"/>
      <c r="D47" s="159"/>
    </row>
    <row r="49" ht="15.75">
      <c r="A49" t="s">
        <v>152</v>
      </c>
    </row>
  </sheetData>
  <sheetProtection/>
  <mergeCells count="36">
    <mergeCell ref="B38:D38"/>
    <mergeCell ref="B14:F14"/>
    <mergeCell ref="B15:F15"/>
    <mergeCell ref="B39:F39"/>
    <mergeCell ref="B23:D23"/>
    <mergeCell ref="B24:D24"/>
    <mergeCell ref="B25:D25"/>
    <mergeCell ref="B26:D26"/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27:D27"/>
    <mergeCell ref="B28:D28"/>
    <mergeCell ref="B17:D17"/>
    <mergeCell ref="B18:D18"/>
    <mergeCell ref="B19:D19"/>
    <mergeCell ref="B20:D20"/>
    <mergeCell ref="B21:D21"/>
    <mergeCell ref="B22:D22"/>
    <mergeCell ref="B41:F41"/>
    <mergeCell ref="B42:G42"/>
    <mergeCell ref="B47:D47"/>
    <mergeCell ref="B29:D29"/>
    <mergeCell ref="B30:D30"/>
    <mergeCell ref="B31:D31"/>
    <mergeCell ref="B32:D32"/>
    <mergeCell ref="B33:D33"/>
    <mergeCell ref="B34:D34"/>
    <mergeCell ref="B40:D40"/>
  </mergeCells>
  <printOptions horizontalCentered="1"/>
  <pageMargins left="0" right="0" top="0.5511811023622047" bottom="0.5511811023622047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PageLayoutView="0" workbookViewId="0" topLeftCell="C1">
      <selection activeCell="S12" sqref="S12"/>
    </sheetView>
  </sheetViews>
  <sheetFormatPr defaultColWidth="9.00390625" defaultRowHeight="15.75"/>
  <cols>
    <col min="1" max="1" width="11.875" style="0" customWidth="1"/>
    <col min="2" max="2" width="15.125" style="0" customWidth="1"/>
    <col min="3" max="3" width="11.25390625" style="0" customWidth="1"/>
    <col min="4" max="4" width="9.50390625" style="0" customWidth="1"/>
    <col min="5" max="5" width="11.25390625" style="0" customWidth="1"/>
    <col min="6" max="6" width="11.75390625" style="0" customWidth="1"/>
    <col min="7" max="7" width="9.875" style="0" bestFit="1" customWidth="1"/>
    <col min="8" max="8" width="11.25390625" style="0" customWidth="1"/>
    <col min="9" max="9" width="10.625" style="0" customWidth="1"/>
    <col min="10" max="10" width="9.875" style="0" bestFit="1" customWidth="1"/>
    <col min="11" max="11" width="9.125" style="0" bestFit="1" customWidth="1"/>
    <col min="12" max="12" width="12.50390625" style="0" customWidth="1"/>
    <col min="13" max="13" width="11.125" style="0" customWidth="1"/>
    <col min="14" max="14" width="9.875" style="0" bestFit="1" customWidth="1"/>
    <col min="15" max="15" width="11.00390625" style="0" customWidth="1"/>
    <col min="16" max="16" width="10.625" style="0" customWidth="1"/>
    <col min="18" max="18" width="11.125" style="0" customWidth="1"/>
    <col min="19" max="19" width="12.00390625" style="0" customWidth="1"/>
  </cols>
  <sheetData>
    <row r="1" spans="1:19" ht="66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19" ht="15.75">
      <c r="A2" s="245" t="s">
        <v>155</v>
      </c>
      <c r="B2" s="250" t="s">
        <v>79</v>
      </c>
      <c r="C2" s="250" t="s">
        <v>80</v>
      </c>
      <c r="D2" s="250"/>
      <c r="E2" s="250"/>
      <c r="F2" s="250"/>
      <c r="G2" s="250"/>
      <c r="H2" s="250"/>
      <c r="I2" s="250"/>
      <c r="J2" s="254" t="s">
        <v>81</v>
      </c>
      <c r="K2" s="254"/>
      <c r="L2" s="254"/>
      <c r="M2" s="251" t="s">
        <v>82</v>
      </c>
      <c r="N2" s="250" t="s">
        <v>83</v>
      </c>
      <c r="O2" s="250"/>
      <c r="P2" s="250"/>
      <c r="Q2" s="250"/>
      <c r="R2" s="250"/>
      <c r="S2" s="241" t="s">
        <v>109</v>
      </c>
    </row>
    <row r="3" spans="1:19" ht="15.75">
      <c r="A3" s="250"/>
      <c r="B3" s="250"/>
      <c r="C3" s="242" t="s">
        <v>84</v>
      </c>
      <c r="D3" s="243"/>
      <c r="E3" s="244"/>
      <c r="F3" s="242" t="s">
        <v>85</v>
      </c>
      <c r="G3" s="243"/>
      <c r="H3" s="244"/>
      <c r="I3" s="245" t="s">
        <v>86</v>
      </c>
      <c r="J3" s="246" t="s">
        <v>87</v>
      </c>
      <c r="K3" s="248" t="s">
        <v>88</v>
      </c>
      <c r="L3" s="246" t="s">
        <v>89</v>
      </c>
      <c r="M3" s="252"/>
      <c r="N3" s="245" t="s">
        <v>90</v>
      </c>
      <c r="O3" s="250" t="s">
        <v>91</v>
      </c>
      <c r="P3" s="250" t="s">
        <v>92</v>
      </c>
      <c r="Q3" s="250" t="s">
        <v>93</v>
      </c>
      <c r="R3" s="250" t="s">
        <v>94</v>
      </c>
      <c r="S3" s="241"/>
    </row>
    <row r="4" spans="1:19" ht="33.75" customHeight="1">
      <c r="A4" s="250"/>
      <c r="B4" s="250"/>
      <c r="C4" s="80" t="s">
        <v>95</v>
      </c>
      <c r="D4" s="81" t="s">
        <v>93</v>
      </c>
      <c r="E4" s="81" t="s">
        <v>94</v>
      </c>
      <c r="F4" s="80" t="s">
        <v>95</v>
      </c>
      <c r="G4" s="81" t="s">
        <v>93</v>
      </c>
      <c r="H4" s="81" t="s">
        <v>94</v>
      </c>
      <c r="I4" s="245"/>
      <c r="J4" s="247"/>
      <c r="K4" s="249"/>
      <c r="L4" s="247"/>
      <c r="M4" s="253"/>
      <c r="N4" s="250"/>
      <c r="O4" s="250"/>
      <c r="P4" s="250"/>
      <c r="Q4" s="250"/>
      <c r="R4" s="250"/>
      <c r="S4" s="241"/>
    </row>
    <row r="5" spans="1:19" ht="42.75">
      <c r="A5" s="81">
        <v>1</v>
      </c>
      <c r="B5" s="81">
        <v>2</v>
      </c>
      <c r="C5" s="80">
        <v>3</v>
      </c>
      <c r="D5" s="81">
        <v>4</v>
      </c>
      <c r="E5" s="81" t="s">
        <v>96</v>
      </c>
      <c r="F5" s="80">
        <v>6</v>
      </c>
      <c r="G5" s="81">
        <v>7</v>
      </c>
      <c r="H5" s="81" t="s">
        <v>97</v>
      </c>
      <c r="I5" s="80" t="s">
        <v>98</v>
      </c>
      <c r="J5" s="81">
        <v>10</v>
      </c>
      <c r="K5" s="81">
        <v>11</v>
      </c>
      <c r="L5" s="80">
        <v>12</v>
      </c>
      <c r="M5" s="80" t="s">
        <v>99</v>
      </c>
      <c r="N5" s="81">
        <v>14</v>
      </c>
      <c r="O5" s="80">
        <v>15</v>
      </c>
      <c r="P5" s="81">
        <v>16</v>
      </c>
      <c r="Q5" s="81">
        <v>17</v>
      </c>
      <c r="R5" s="80" t="s">
        <v>100</v>
      </c>
      <c r="S5" s="82" t="s">
        <v>101</v>
      </c>
    </row>
    <row r="6" spans="1:19" ht="15.75">
      <c r="A6" s="83">
        <v>-353799.12</v>
      </c>
      <c r="B6" s="84" t="s">
        <v>156</v>
      </c>
      <c r="C6" s="83">
        <v>141127.97</v>
      </c>
      <c r="D6" s="83">
        <v>8059.9</v>
      </c>
      <c r="E6" s="83">
        <f aca="true" t="shared" si="0" ref="E6:E12">SUM(C6:D6)</f>
        <v>149187.87</v>
      </c>
      <c r="F6" s="83">
        <v>141563.81</v>
      </c>
      <c r="G6" s="83">
        <v>8098.86</v>
      </c>
      <c r="H6" s="83">
        <f aca="true" t="shared" si="1" ref="H6:H12">SUM(F6:G6)</f>
        <v>149662.66999999998</v>
      </c>
      <c r="I6" s="85">
        <f aca="true" t="shared" si="2" ref="I6:I12">E6-H6</f>
        <v>-474.79999999998836</v>
      </c>
      <c r="J6" s="83">
        <f>'отчет 2012(08-12)'!J12</f>
        <v>19046.67</v>
      </c>
      <c r="K6" s="83">
        <v>0</v>
      </c>
      <c r="L6" s="83">
        <v>0</v>
      </c>
      <c r="M6" s="83">
        <f aca="true" t="shared" si="3" ref="M6:M12">H6+J6+K6+L6</f>
        <v>168709.33999999997</v>
      </c>
      <c r="N6" s="83">
        <f>'отчет 2012(08-12)'!J29</f>
        <v>15243.54</v>
      </c>
      <c r="O6" s="83">
        <f>'отчет 2012(08-12)'!J34-'отчет 2012(08-12)'!J29</f>
        <v>115926.13</v>
      </c>
      <c r="P6" s="83">
        <f>'отчет 2012(08-12)'!J38</f>
        <v>154775</v>
      </c>
      <c r="Q6" s="85">
        <v>0</v>
      </c>
      <c r="R6" s="83">
        <f aca="true" t="shared" si="4" ref="R6:R12">SUM(N6:Q6)</f>
        <v>285944.67000000004</v>
      </c>
      <c r="S6" s="83">
        <f aca="true" t="shared" si="5" ref="S6:S11">M6-R6</f>
        <v>-117235.33000000007</v>
      </c>
    </row>
    <row r="7" spans="1:19" ht="15.75">
      <c r="A7" s="83"/>
      <c r="B7" s="84"/>
      <c r="C7" s="83"/>
      <c r="D7" s="83"/>
      <c r="E7" s="83">
        <f t="shared" si="0"/>
        <v>0</v>
      </c>
      <c r="F7" s="83"/>
      <c r="G7" s="83"/>
      <c r="H7" s="83">
        <f t="shared" si="1"/>
        <v>0</v>
      </c>
      <c r="I7" s="85">
        <f t="shared" si="2"/>
        <v>0</v>
      </c>
      <c r="J7" s="83"/>
      <c r="K7" s="83"/>
      <c r="L7" s="83"/>
      <c r="M7" s="83">
        <f t="shared" si="3"/>
        <v>0</v>
      </c>
      <c r="N7" s="83"/>
      <c r="O7" s="83"/>
      <c r="P7" s="83"/>
      <c r="Q7" s="85"/>
      <c r="R7" s="83">
        <f t="shared" si="4"/>
        <v>0</v>
      </c>
      <c r="S7" s="83">
        <f t="shared" si="5"/>
        <v>0</v>
      </c>
    </row>
    <row r="8" spans="1:19" ht="15.75">
      <c r="A8" s="83"/>
      <c r="B8" s="84"/>
      <c r="C8" s="83"/>
      <c r="D8" s="83"/>
      <c r="E8" s="83">
        <f t="shared" si="0"/>
        <v>0</v>
      </c>
      <c r="F8" s="83"/>
      <c r="G8" s="83"/>
      <c r="H8" s="83">
        <f t="shared" si="1"/>
        <v>0</v>
      </c>
      <c r="I8" s="85">
        <f t="shared" si="2"/>
        <v>0</v>
      </c>
      <c r="J8" s="83"/>
      <c r="K8" s="83"/>
      <c r="L8" s="83"/>
      <c r="M8" s="83">
        <f t="shared" si="3"/>
        <v>0</v>
      </c>
      <c r="N8" s="83"/>
      <c r="O8" s="83"/>
      <c r="P8" s="83"/>
      <c r="Q8" s="85"/>
      <c r="R8" s="83">
        <f t="shared" si="4"/>
        <v>0</v>
      </c>
      <c r="S8" s="83">
        <f t="shared" si="5"/>
        <v>0</v>
      </c>
    </row>
    <row r="9" spans="1:19" ht="15.75">
      <c r="A9" s="83"/>
      <c r="B9" s="84"/>
      <c r="C9" s="83"/>
      <c r="D9" s="83"/>
      <c r="E9" s="83">
        <f t="shared" si="0"/>
        <v>0</v>
      </c>
      <c r="F9" s="83"/>
      <c r="G9" s="83"/>
      <c r="H9" s="83">
        <f t="shared" si="1"/>
        <v>0</v>
      </c>
      <c r="I9" s="85">
        <f t="shared" si="2"/>
        <v>0</v>
      </c>
      <c r="J9" s="83"/>
      <c r="K9" s="83"/>
      <c r="L9" s="83"/>
      <c r="M9" s="83">
        <f t="shared" si="3"/>
        <v>0</v>
      </c>
      <c r="N9" s="83"/>
      <c r="O9" s="83"/>
      <c r="P9" s="83"/>
      <c r="Q9" s="89"/>
      <c r="R9" s="83">
        <f t="shared" si="4"/>
        <v>0</v>
      </c>
      <c r="S9" s="83">
        <f t="shared" si="5"/>
        <v>0</v>
      </c>
    </row>
    <row r="10" spans="1:19" ht="15.75">
      <c r="A10" s="83"/>
      <c r="B10" s="84"/>
      <c r="C10" s="83"/>
      <c r="D10" s="83"/>
      <c r="E10" s="83">
        <f t="shared" si="0"/>
        <v>0</v>
      </c>
      <c r="F10" s="83"/>
      <c r="G10" s="83"/>
      <c r="H10" s="83">
        <f t="shared" si="1"/>
        <v>0</v>
      </c>
      <c r="I10" s="85">
        <f t="shared" si="2"/>
        <v>0</v>
      </c>
      <c r="J10" s="83"/>
      <c r="K10" s="83"/>
      <c r="L10" s="83"/>
      <c r="M10" s="83">
        <f t="shared" si="3"/>
        <v>0</v>
      </c>
      <c r="N10" s="83"/>
      <c r="O10" s="83"/>
      <c r="P10" s="86"/>
      <c r="Q10" s="86"/>
      <c r="R10" s="83">
        <f t="shared" si="4"/>
        <v>0</v>
      </c>
      <c r="S10" s="83">
        <f t="shared" si="5"/>
        <v>0</v>
      </c>
    </row>
    <row r="11" spans="1:19" ht="15.75">
      <c r="A11" s="83"/>
      <c r="B11" s="84"/>
      <c r="C11" s="83"/>
      <c r="D11" s="83"/>
      <c r="E11" s="83">
        <f t="shared" si="0"/>
        <v>0</v>
      </c>
      <c r="F11" s="83"/>
      <c r="G11" s="83"/>
      <c r="H11" s="83">
        <f t="shared" si="1"/>
        <v>0</v>
      </c>
      <c r="I11" s="85">
        <f t="shared" si="2"/>
        <v>0</v>
      </c>
      <c r="J11" s="83"/>
      <c r="K11" s="83"/>
      <c r="L11" s="83"/>
      <c r="M11" s="83">
        <f t="shared" si="3"/>
        <v>0</v>
      </c>
      <c r="N11" s="83"/>
      <c r="O11" s="83"/>
      <c r="P11" s="86"/>
      <c r="Q11" s="86"/>
      <c r="R11" s="83">
        <f t="shared" si="4"/>
        <v>0</v>
      </c>
      <c r="S11" s="83">
        <f t="shared" si="5"/>
        <v>0</v>
      </c>
    </row>
    <row r="12" spans="1:19" ht="15.75">
      <c r="A12" s="83" t="s">
        <v>103</v>
      </c>
      <c r="B12" s="84" t="s">
        <v>102</v>
      </c>
      <c r="C12" s="87">
        <f>SUM(C6:C11)</f>
        <v>141127.97</v>
      </c>
      <c r="D12" s="87">
        <f>SUM(D6:D11)</f>
        <v>8059.9</v>
      </c>
      <c r="E12" s="87">
        <f t="shared" si="0"/>
        <v>149187.87</v>
      </c>
      <c r="F12" s="87">
        <f>SUM(F6:F11)</f>
        <v>141563.81</v>
      </c>
      <c r="G12" s="87">
        <f>SUM(G6:G11)</f>
        <v>8098.86</v>
      </c>
      <c r="H12" s="87">
        <f t="shared" si="1"/>
        <v>149662.66999999998</v>
      </c>
      <c r="I12" s="88">
        <f t="shared" si="2"/>
        <v>-474.79999999998836</v>
      </c>
      <c r="J12" s="87">
        <f>SUM(J6:J11)</f>
        <v>19046.67</v>
      </c>
      <c r="K12" s="87">
        <f>SUM(K6:K11)</f>
        <v>0</v>
      </c>
      <c r="L12" s="87">
        <f>SUM(L6:L11)</f>
        <v>0</v>
      </c>
      <c r="M12" s="87">
        <f t="shared" si="3"/>
        <v>168709.33999999997</v>
      </c>
      <c r="N12" s="87">
        <f>SUM(N6:N11)</f>
        <v>15243.54</v>
      </c>
      <c r="O12" s="87">
        <f>SUM(O6:O11)</f>
        <v>115926.13</v>
      </c>
      <c r="P12" s="87">
        <f>SUM(P6:P11)</f>
        <v>154775</v>
      </c>
      <c r="Q12" s="87">
        <f>SUM(Q6:Q11)</f>
        <v>0</v>
      </c>
      <c r="R12" s="87">
        <f t="shared" si="4"/>
        <v>285944.67000000004</v>
      </c>
      <c r="S12" s="83">
        <f>SUM(S6:S11)+A6</f>
        <v>-471034.45000000007</v>
      </c>
    </row>
    <row r="14" spans="2:9" ht="18.75">
      <c r="B14" s="239" t="s">
        <v>157</v>
      </c>
      <c r="C14" s="239"/>
      <c r="D14" s="239"/>
      <c r="E14" s="239"/>
      <c r="F14" s="239" t="s">
        <v>158</v>
      </c>
      <c r="G14" s="239"/>
      <c r="H14" s="239"/>
      <c r="I14" s="239"/>
    </row>
    <row r="15" spans="2:9" ht="18.75">
      <c r="B15" s="139"/>
      <c r="C15" s="139"/>
      <c r="D15" s="139"/>
      <c r="E15" s="139"/>
      <c r="F15" s="139"/>
      <c r="G15" s="139"/>
      <c r="H15" s="139"/>
      <c r="I15" s="139"/>
    </row>
    <row r="16" spans="2:9" ht="18.75">
      <c r="B16" s="140" t="s">
        <v>159</v>
      </c>
      <c r="C16" s="141"/>
      <c r="D16" s="141"/>
      <c r="E16" s="141"/>
      <c r="F16" s="239" t="s">
        <v>160</v>
      </c>
      <c r="G16" s="239"/>
      <c r="H16" s="239"/>
      <c r="I16" s="141"/>
    </row>
    <row r="18" ht="15.75">
      <c r="A18" t="s">
        <v>152</v>
      </c>
    </row>
  </sheetData>
  <sheetProtection/>
  <mergeCells count="22">
    <mergeCell ref="A2:A4"/>
    <mergeCell ref="B2:B4"/>
    <mergeCell ref="C2:I2"/>
    <mergeCell ref="J2:L2"/>
    <mergeCell ref="L3:L4"/>
    <mergeCell ref="B14:E14"/>
    <mergeCell ref="F14:I14"/>
    <mergeCell ref="N2:R2"/>
    <mergeCell ref="Q3:Q4"/>
    <mergeCell ref="R3:R4"/>
    <mergeCell ref="P3:P4"/>
    <mergeCell ref="N3:N4"/>
    <mergeCell ref="F16:H16"/>
    <mergeCell ref="A1:S1"/>
    <mergeCell ref="S2:S4"/>
    <mergeCell ref="C3:E3"/>
    <mergeCell ref="F3:H3"/>
    <mergeCell ref="I3:I4"/>
    <mergeCell ref="J3:J4"/>
    <mergeCell ref="K3:K4"/>
    <mergeCell ref="O3:O4"/>
    <mergeCell ref="M2:M4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2013-03-04T05:40:41Z</cp:lastPrinted>
  <dcterms:created xsi:type="dcterms:W3CDTF">2009-08-26T03:25:10Z</dcterms:created>
  <dcterms:modified xsi:type="dcterms:W3CDTF">2013-05-08T03:40:03Z</dcterms:modified>
  <cp:category/>
  <cp:version/>
  <cp:contentType/>
  <cp:contentStatus/>
</cp:coreProperties>
</file>