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6" activeTab="6"/>
  </bookViews>
  <sheets>
    <sheet name="2008" sheetId="1" r:id="rId1"/>
    <sheet name="отчет 2009" sheetId="2" state="hidden" r:id="rId2"/>
    <sheet name="отчет 2010" sheetId="3" state="hidden" r:id="rId3"/>
    <sheet name="отчет 2011" sheetId="4" state="hidden" r:id="rId4"/>
    <sheet name="план 2011" sheetId="5" state="hidden" r:id="rId5"/>
    <sheet name="план 2012" sheetId="6" state="hidden" r:id="rId6"/>
    <sheet name="отчет 2012(01-07)" sheetId="7" r:id="rId7"/>
    <sheet name="накопит отчет" sheetId="8" state="hidden" r:id="rId8"/>
  </sheets>
  <definedNames>
    <definedName name="_xlnm.Print_Area" localSheetId="4">'план 2011'!$A$1:$H$38</definedName>
  </definedNames>
  <calcPr fullCalcOnLoad="1"/>
</workbook>
</file>

<file path=xl/sharedStrings.xml><?xml version="1.0" encoding="utf-8"?>
<sst xmlns="http://schemas.openxmlformats.org/spreadsheetml/2006/main" count="629" uniqueCount="252">
  <si>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</si>
  <si>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</si>
  <si>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</si>
  <si>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</si>
  <si>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</si>
  <si>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</si>
  <si>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</si>
  <si>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</si>
  <si>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</si>
  <si>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</si>
  <si>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</si>
  <si>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</si>
  <si>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</si>
  <si>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</si>
  <si>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</si>
  <si>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</si>
  <si>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</si>
  <si>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</si>
  <si>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</si>
  <si>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</si>
  <si>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</si>
  <si>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</si>
  <si>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</si>
  <si>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</si>
  <si>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Противопожарные мероприятия:  проверка и очистка вентканалов и шахт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</si>
  <si>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</si>
  <si>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</si>
  <si>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</si>
  <si>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</si>
  <si>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</si>
  <si>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</si>
  <si>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</si>
  <si>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</si>
  <si>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</si>
  <si>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</si>
  <si>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</si>
  <si>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</si>
  <si>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</si>
  <si>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</si>
  <si>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</si>
  <si>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</si>
  <si>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</si>
  <si>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</si>
  <si>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</si>
  <si>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</si>
  <si>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</si>
  <si>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</si>
  <si>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</si>
  <si>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</si>
  <si>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</si>
  <si>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</si>
  <si>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</si>
  <si>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</si>
  <si>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</si>
  <si>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</si>
  <si>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</si>
  <si>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</si>
  <si>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</si>
  <si>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</si>
  <si>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</si>
  <si>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</si>
  <si>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</si>
  <si>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</si>
  <si>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</si>
  <si>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</si>
  <si>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</si>
  <si>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</si>
  <si>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</si>
  <si>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</si>
  <si>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</si>
  <si>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</si>
  <si>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</si>
  <si>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</si>
  <si>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</si>
  <si>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</si>
  <si>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Директор</t>
  </si>
  <si>
    <t>Претензий по управлению нет.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</si>
  <si>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</si>
  <si>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</si>
  <si>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</si>
  <si>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</si>
  <si>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Т.И. Плотникова</t>
  </si>
  <si>
    <t>Принято: старший по дому</t>
  </si>
  <si>
    <t>ОТЧЕТ
за  2009 г. о выполненнии условий  договора управления МКД № 273/3 от 28.03.2008 г., заключенного между ООО "ОЖКС № 3" и собственниками многоквартирного дома
по адресу: ул. Горького, 43</t>
  </si>
  <si>
    <t xml:space="preserve">       Представитель собственников- старший по дому Скакальский А.А.,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в  2009г.      </t>
  </si>
  <si>
    <t>Адрес: ул. Горького, 43</t>
  </si>
  <si>
    <t>А.А. Скакальский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</si>
  <si>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</si>
  <si>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</si>
  <si>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</si>
  <si>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- начислено за содержание и текущий ремонт общего имущества жилого дома 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</si>
  <si>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</si>
  <si>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</si>
  <si>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</si>
  <si>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3"</t>
  </si>
  <si>
    <t xml:space="preserve">Капитальный ремонт </t>
  </si>
  <si>
    <t>__________________</t>
  </si>
  <si>
    <t>ОТЧЕТ
о выполненных работах в 2008 году по договору управления МКД 
№ 273 от 28.03.2008 г., заключенного между ООО "ОЖКС №3" 
и собственниками многоквартирного дома
по адресу:  ул.Горького, 43</t>
  </si>
  <si>
    <t xml:space="preserve">        Представитель собственников  - старший по дому Базлова Е.А., с одной стороны 
и Общество с Ограниченной Ответственностью "Октябрьский Жилкомсервис № 3" в лице директора Плотниковой Т.И.,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</si>
  <si>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</si>
  <si>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</si>
  <si>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</si>
  <si>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</si>
  <si>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</si>
  <si>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</si>
  <si>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</si>
  <si>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</si>
  <si>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</si>
  <si>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</si>
  <si>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</si>
  <si>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</si>
  <si>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</si>
  <si>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</si>
  <si>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</si>
  <si>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</si>
  <si>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</si>
  <si>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</si>
  <si>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</si>
  <si>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</si>
  <si>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</si>
  <si>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</si>
  <si>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</si>
  <si>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</si>
  <si>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</si>
  <si>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</si>
  <si>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</si>
  <si>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</si>
  <si>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</si>
  <si>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</si>
  <si>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</si>
  <si>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</si>
  <si>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</si>
  <si>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</si>
  <si>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</si>
  <si>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</si>
  <si>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</si>
  <si>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</si>
  <si>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</si>
  <si>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Принято:</t>
  </si>
  <si>
    <t xml:space="preserve">Директор ООО "ОЖКС № 3"                                                            Т.И. Плотникова                             </t>
  </si>
  <si>
    <t xml:space="preserve">Старший по дому                                                                                   Е.А. Базлова                                     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</si>
  <si>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</si>
  <si>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</si>
  <si>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</si>
  <si>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</si>
  <si>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</si>
  <si>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</si>
  <si>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</si>
  <si>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</si>
  <si>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</si>
  <si>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</si>
  <si>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</si>
  <si>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</si>
  <si>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</si>
  <si>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</si>
  <si>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</si>
  <si>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</si>
  <si>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</si>
  <si>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</si>
  <si>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</si>
  <si>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</si>
  <si>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</si>
  <si>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</si>
  <si>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</si>
  <si>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</si>
  <si>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3"                                               Т.И. Плотникова                         </t>
  </si>
  <si>
    <t>Претензий по управлению нет (да)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</si>
  <si>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</si>
  <si>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</si>
  <si>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</si>
  <si>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</si>
  <si>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</si>
  <si>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</si>
  <si>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</si>
  <si>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</si>
  <si>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</si>
  <si>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</si>
  <si>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</si>
  <si>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</si>
  <si>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</si>
  <si>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</si>
  <si>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</si>
  <si>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</si>
  <si>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</si>
  <si>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</si>
  <si>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</si>
  <si>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</si>
  <si>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</si>
  <si>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</si>
  <si>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</si>
  <si>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</si>
  <si>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</si>
  <si>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</si>
  <si>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</si>
  <si>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</si>
  <si>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2013г</t>
  </si>
  <si>
    <t>Итого: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</si>
  <si>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контейнерных площадок </t>
    </r>
  </si>
  <si>
    <t>Принято: Старший по дому                                                  А.А. Скакальский</t>
  </si>
  <si>
    <t>Смета доходов и расходов  на  2011 г.
согласно договора управления МКД № 273/3 от 28.03.2008г., заключенного между ООО "ОЖКС № 3" и собственниками многоквартирного дома</t>
  </si>
  <si>
    <t xml:space="preserve"> </t>
  </si>
  <si>
    <t>ОТЧЕТ
за  2010 г. о выполненнии условий  договора управления МКД № 273/3 от 28.03.2008 г., 
заключенного между ООО "ОЖКС № 3" и собственниками многоквартирного дома
по адресу: ул. Горького, 43</t>
  </si>
  <si>
    <t xml:space="preserve">       Представитель собственников- старший по дому Скакальский А.А., с одной стороны и Общество с Ограниченной 
Ответственностью "Октябрьский Жилкомсервис № 3" в лице директора Плотниковой Т.И., действующей на основании Устава,  
с другой стороны, составили настоящий отчет о выполненных работах  в  2010г.      </t>
  </si>
  <si>
    <t>ОТЧЕТ
по  договору управления МКД № 273/3 от 28.03.2008 г., заключенного между ООО "ОЖКС № 3" 
и собственниками многоквартирного дома по адресу:  ул. Горького,43</t>
  </si>
  <si>
    <t>Т. И. Плотникова</t>
  </si>
  <si>
    <t>ОТЧЕТ
за  2011 г. о выполнении условий  договора управления МКД № 273/3 от 28.03.2008 г., 
заключенного между ООО "ОЖКС № 3" и собственниками многоквартирного дома
по адресу: ул. Горького, 43</t>
  </si>
  <si>
    <t xml:space="preserve">       Представитель собственников- старший по дому _________________, с одной стороны и Общество с Ограниченной 
Ответственностью "Октябрьский Жилкомсервис № 3" в лице директора Плотниковой Т.И., действующей на основании Устава,  
с другой стороны, составили настоящий отчет о выполненных работах  в  2011г.      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</si>
  <si>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  <r>
      <rPr>
        <sz val="12"/>
        <color indexed="10"/>
        <rFont val="Times New Roman"/>
        <family val="1"/>
      </rPr>
      <t xml:space="preserve"> </t>
    </r>
  </si>
  <si>
    <t xml:space="preserve">Финансовый результат за 2011г. (+ экономия,- перерасход)                                                      </t>
  </si>
  <si>
    <t>Принято: Старший по дому                                                  __________________</t>
  </si>
  <si>
    <t>результат
 за год
(+эконом., 
-перерасх.)</t>
  </si>
  <si>
    <t xml:space="preserve">  Приложение №7 к Договору 
на оказание услуг и  выполнение работ      
по содержанию, текущему и капитальному ремонту
     общего имущества МКД №_____ от "____"________2012г.</t>
  </si>
  <si>
    <t>Расчет стоимости договора и тарифа 1 м2 на 2012 г.</t>
  </si>
  <si>
    <t>подметание асфальта -   1 раз/неделю,                
подбор мусора - ежедневно</t>
  </si>
  <si>
    <t>по плану работ</t>
  </si>
  <si>
    <t>* в случае уточнения площадей возможно изменение стоимости</t>
  </si>
  <si>
    <t xml:space="preserve">Директор ООО "ОЖКС № 3"                                                                       </t>
  </si>
  <si>
    <t xml:space="preserve">           Представитель собственников</t>
  </si>
  <si>
    <t>________________ Т.И. Плотникова</t>
  </si>
  <si>
    <t xml:space="preserve">            ________________________</t>
  </si>
  <si>
    <t>Тариф с 1 августа 2012 г. - 11,21 руб., капитальный ремонт - 0,80 руб.</t>
  </si>
  <si>
    <t>5=гр.4*Sдома*5мес.</t>
  </si>
  <si>
    <t>59, 1 нежилое помещение</t>
  </si>
  <si>
    <t>1.2.</t>
  </si>
  <si>
    <t>1.3.</t>
  </si>
  <si>
    <t>Тариф 
на 
1 кв.м. август-декабрь 2012г.
руб.</t>
  </si>
  <si>
    <t>Стоимость работ
август-декабрь 2012г.                      руб.</t>
  </si>
  <si>
    <t xml:space="preserve">       Представитель собственников- старший по дому _______________,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с 01.01.12г. по 31.07.12г.  </t>
  </si>
  <si>
    <t>S жилых и нежилых помещений, кв.м</t>
  </si>
  <si>
    <t>Тариф 01.01.12г-30.06.12г</t>
  </si>
  <si>
    <t>Тариф 01.07.12г.-31.07.12г.</t>
  </si>
  <si>
    <t>Сумма с 01.01.12г.-31.07.12г., руб.</t>
  </si>
  <si>
    <t>кол-во мес. по дог. управления</t>
  </si>
  <si>
    <t xml:space="preserve"> - прочие доходы </t>
  </si>
  <si>
    <t>2.1.</t>
  </si>
  <si>
    <t>Сбор, вывоз бытового мусора</t>
  </si>
  <si>
    <t>ООО "ОЖКС № 6"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</si>
  <si>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</si>
  <si>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2.2.</t>
  </si>
  <si>
    <t xml:space="preserve"> Текущий ремонт общего имущества </t>
  </si>
  <si>
    <t>2.3.</t>
  </si>
  <si>
    <t xml:space="preserve">Финансовый результат за с 01.01.12г. по 31.07.12г. (+ экономия,- перерасход)                                                      </t>
  </si>
  <si>
    <t>Принято: Старший по дому                                                  _________________</t>
  </si>
  <si>
    <t>Исполнитель О.В. Калинина</t>
  </si>
  <si>
    <t>ОТЧЕТ
с 01.01.12г. по 31.07.12 г. о выполнении условий  договора управления МКД № 273/3 от 28.03.2008г., 
заключенного между ООО "ОЖКС № 3" и собственниками многоквартирного дома 
по адресу:  ул. Горького, 43</t>
  </si>
  <si>
    <t>за 7 мес. 2012г.</t>
  </si>
  <si>
    <t xml:space="preserve">Директор ООО "ОЖКС № 3"                                 </t>
  </si>
  <si>
    <t xml:space="preserve">____________ Т.И. Плотникова                              </t>
  </si>
  <si>
    <t xml:space="preserve">Финансовый результат </t>
  </si>
  <si>
    <t>по договору управления подтверждаю:</t>
  </si>
  <si>
    <t>Старший по дому</t>
  </si>
  <si>
    <t>_______________/___________/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</si>
</sst>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0"/>
    </font>
    <font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9" xfId="0" applyNumberFormat="1" applyFont="1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16" fontId="2" fillId="0" borderId="2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2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2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25" borderId="10" xfId="0" applyNumberForma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0" fontId="2" fillId="0" borderId="27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24" borderId="29" xfId="0" applyNumberFormat="1" applyFont="1" applyFill="1" applyBorder="1" applyAlignment="1">
      <alignment vertical="center"/>
    </xf>
    <xf numFmtId="0" fontId="30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vertical="center" wrapText="1" shrinkToFit="1"/>
    </xf>
    <xf numFmtId="0" fontId="30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" fillId="0" borderId="21" xfId="0" applyFont="1" applyBorder="1" applyAlignment="1">
      <alignment horizontal="left" indent="1"/>
    </xf>
    <xf numFmtId="0" fontId="0" fillId="0" borderId="1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0" fontId="0" fillId="24" borderId="23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indent="1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5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B35" sqref="B35:D35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7.625" style="0" customWidth="1"/>
  </cols>
  <sheetData>
    <row r="1" spans="1:4" ht="110.25" customHeight="1">
      <c r="A1" s="209" t="s">
        <v>97</v>
      </c>
      <c r="B1" s="210"/>
      <c r="C1" s="210"/>
      <c r="D1" s="210"/>
    </row>
    <row r="2" spans="1:4" ht="87" customHeight="1">
      <c r="A2" s="211" t="s">
        <v>98</v>
      </c>
      <c r="B2" s="212"/>
      <c r="C2" s="212"/>
      <c r="D2" s="212"/>
    </row>
    <row r="3" spans="1:4" ht="31.5">
      <c r="A3" s="23" t="s">
        <v>99</v>
      </c>
      <c r="B3" s="23" t="s">
        <v>100</v>
      </c>
      <c r="C3" s="11" t="s">
        <v>101</v>
      </c>
      <c r="D3" s="30"/>
    </row>
    <row r="4" spans="1:4" ht="15.75">
      <c r="A4" s="67" t="s">
        <v>102</v>
      </c>
      <c r="B4" s="68" t="s">
        <v>103</v>
      </c>
      <c r="C4" s="11" t="s">
        <v>104</v>
      </c>
      <c r="D4" s="69">
        <v>5</v>
      </c>
    </row>
    <row r="5" spans="1:4" ht="15.75">
      <c r="A5" s="70" t="s">
        <v>105</v>
      </c>
      <c r="B5" s="71" t="s">
        <v>106</v>
      </c>
      <c r="C5" s="72" t="s">
        <v>107</v>
      </c>
      <c r="D5" s="73">
        <v>2662.1</v>
      </c>
    </row>
    <row r="6" spans="1:4" ht="15.75">
      <c r="A6" s="70" t="s">
        <v>108</v>
      </c>
      <c r="B6" s="71" t="s">
        <v>109</v>
      </c>
      <c r="C6" s="72" t="s">
        <v>104</v>
      </c>
      <c r="D6" s="74">
        <v>59</v>
      </c>
    </row>
    <row r="7" spans="1:4" ht="15.75">
      <c r="A7" s="70" t="s">
        <v>110</v>
      </c>
      <c r="B7" s="71" t="s">
        <v>111</v>
      </c>
      <c r="C7" s="43"/>
      <c r="D7" s="73"/>
    </row>
    <row r="8" spans="1:4" ht="15.75">
      <c r="A8" s="75" t="s">
        <v>112</v>
      </c>
      <c r="B8" s="71" t="s">
        <v>113</v>
      </c>
      <c r="C8" s="43"/>
      <c r="D8" s="73"/>
    </row>
    <row r="9" spans="1:4" ht="15.75">
      <c r="A9" s="76"/>
      <c r="B9" s="77" t="s">
        <v>114</v>
      </c>
      <c r="C9" s="43" t="s">
        <v>115</v>
      </c>
      <c r="D9" s="73">
        <v>171953.58</v>
      </c>
    </row>
    <row r="10" spans="1:4" ht="15.75">
      <c r="A10" s="76"/>
      <c r="B10" s="77" t="s">
        <v>116</v>
      </c>
      <c r="C10" s="43" t="s">
        <v>115</v>
      </c>
      <c r="D10" s="73">
        <v>171529.45</v>
      </c>
    </row>
    <row r="11" spans="1:4" ht="15.75">
      <c r="A11" s="76"/>
      <c r="B11" s="71" t="s">
        <v>117</v>
      </c>
      <c r="C11" s="72" t="s">
        <v>115</v>
      </c>
      <c r="D11" s="78">
        <f>D9-D10</f>
        <v>424.12999999997555</v>
      </c>
    </row>
    <row r="12" spans="1:4" ht="15.75">
      <c r="A12" s="75" t="s">
        <v>118</v>
      </c>
      <c r="B12" s="71" t="s">
        <v>119</v>
      </c>
      <c r="C12" s="43"/>
      <c r="D12" s="73"/>
    </row>
    <row r="13" spans="1:4" ht="15.75">
      <c r="A13" s="76"/>
      <c r="B13" s="77" t="s">
        <v>114</v>
      </c>
      <c r="C13" s="43" t="s">
        <v>115</v>
      </c>
      <c r="D13" s="73">
        <v>10414.65</v>
      </c>
    </row>
    <row r="14" spans="1:4" ht="15.75">
      <c r="A14" s="76"/>
      <c r="B14" s="77" t="s">
        <v>116</v>
      </c>
      <c r="C14" s="43" t="s">
        <v>115</v>
      </c>
      <c r="D14" s="73">
        <v>10635.11</v>
      </c>
    </row>
    <row r="15" spans="1:4" ht="15.75">
      <c r="A15" s="76"/>
      <c r="B15" s="71" t="s">
        <v>117</v>
      </c>
      <c r="C15" s="72" t="s">
        <v>115</v>
      </c>
      <c r="D15" s="78">
        <f>D13-D14</f>
        <v>-220.46000000000095</v>
      </c>
    </row>
    <row r="16" spans="1:4" ht="15.75">
      <c r="A16" s="79" t="s">
        <v>120</v>
      </c>
      <c r="B16" s="71" t="s">
        <v>121</v>
      </c>
      <c r="C16" s="43"/>
      <c r="D16" s="80"/>
    </row>
    <row r="17" spans="1:4" ht="15.75">
      <c r="A17" s="81"/>
      <c r="B17" s="77" t="s">
        <v>114</v>
      </c>
      <c r="C17" s="43" t="s">
        <v>115</v>
      </c>
      <c r="D17" s="80">
        <v>3520.5</v>
      </c>
    </row>
    <row r="18" spans="1:4" ht="15.75">
      <c r="A18" s="81"/>
      <c r="B18" s="77" t="s">
        <v>116</v>
      </c>
      <c r="C18" s="43" t="s">
        <v>115</v>
      </c>
      <c r="D18" s="80">
        <v>3255.42</v>
      </c>
    </row>
    <row r="19" spans="1:4" ht="15.75">
      <c r="A19" s="81"/>
      <c r="B19" s="71" t="s">
        <v>117</v>
      </c>
      <c r="C19" s="43" t="s">
        <v>115</v>
      </c>
      <c r="D19" s="82">
        <f>D17-D18</f>
        <v>265.0799999999999</v>
      </c>
    </row>
    <row r="20" spans="1:4" ht="15.75">
      <c r="A20" s="76"/>
      <c r="B20" s="71" t="s">
        <v>122</v>
      </c>
      <c r="C20" s="43" t="s">
        <v>115</v>
      </c>
      <c r="D20" s="78">
        <f>D9+D13+D17</f>
        <v>185888.72999999998</v>
      </c>
    </row>
    <row r="21" spans="1:4" ht="15.75">
      <c r="A21" s="76"/>
      <c r="B21" s="71" t="s">
        <v>123</v>
      </c>
      <c r="C21" s="43" t="s">
        <v>115</v>
      </c>
      <c r="D21" s="78">
        <f>D11+D15+D19</f>
        <v>468.74999999997453</v>
      </c>
    </row>
    <row r="22" spans="1:4" ht="15.75">
      <c r="A22" s="70" t="s">
        <v>124</v>
      </c>
      <c r="B22" s="83" t="s">
        <v>125</v>
      </c>
      <c r="C22" s="43"/>
      <c r="D22" s="73"/>
    </row>
    <row r="23" spans="1:4" ht="94.5">
      <c r="A23" s="84" t="s">
        <v>126</v>
      </c>
      <c r="B23" s="85" t="s">
        <v>127</v>
      </c>
      <c r="C23" s="72" t="s">
        <v>115</v>
      </c>
      <c r="D23" s="78">
        <f>D9*0.11</f>
        <v>18914.893799999998</v>
      </c>
    </row>
    <row r="24" spans="1:4" ht="110.25">
      <c r="A24" s="84" t="s">
        <v>128</v>
      </c>
      <c r="B24" s="85" t="s">
        <v>129</v>
      </c>
      <c r="C24" s="72" t="s">
        <v>115</v>
      </c>
      <c r="D24" s="78">
        <f>D9*0.7</f>
        <v>120367.50599999998</v>
      </c>
    </row>
    <row r="25" spans="1:4" ht="15.75">
      <c r="A25" s="84" t="s">
        <v>130</v>
      </c>
      <c r="B25" s="71" t="s">
        <v>131</v>
      </c>
      <c r="C25" s="72" t="s">
        <v>115</v>
      </c>
      <c r="D25" s="86">
        <v>183900</v>
      </c>
    </row>
    <row r="26" spans="1:4" ht="15.75">
      <c r="A26" s="84" t="s">
        <v>132</v>
      </c>
      <c r="B26" s="71" t="s">
        <v>133</v>
      </c>
      <c r="C26" s="72" t="s">
        <v>115</v>
      </c>
      <c r="D26" s="86">
        <v>0</v>
      </c>
    </row>
    <row r="27" spans="1:4" ht="15.75">
      <c r="A27" s="76"/>
      <c r="B27" s="71" t="s">
        <v>134</v>
      </c>
      <c r="C27" s="72" t="s">
        <v>115</v>
      </c>
      <c r="D27" s="78">
        <f>D23+D24+D25+D26</f>
        <v>323182.3998</v>
      </c>
    </row>
    <row r="28" spans="1:4" ht="15.75">
      <c r="A28" s="75" t="s">
        <v>63</v>
      </c>
      <c r="B28" s="71" t="s">
        <v>135</v>
      </c>
      <c r="C28" s="43" t="s">
        <v>115</v>
      </c>
      <c r="D28" s="73">
        <f>D20-D27</f>
        <v>-137293.66980000003</v>
      </c>
    </row>
    <row r="29" spans="1:4" ht="31.5">
      <c r="A29" s="84" t="s">
        <v>136</v>
      </c>
      <c r="B29" s="85" t="s">
        <v>137</v>
      </c>
      <c r="C29" s="43" t="s">
        <v>115</v>
      </c>
      <c r="D29" s="73">
        <f>D28-D21</f>
        <v>-137762.4198</v>
      </c>
    </row>
    <row r="30" spans="1:4" ht="15.75">
      <c r="A30" s="87"/>
      <c r="B30" s="88"/>
      <c r="C30" s="89"/>
      <c r="D30" s="89"/>
    </row>
    <row r="31" spans="2:4" ht="15.75">
      <c r="B31" s="213" t="s">
        <v>139</v>
      </c>
      <c r="C31" s="213"/>
      <c r="D31" s="213"/>
    </row>
    <row r="32" spans="2:4" ht="15.75">
      <c r="B32" s="91"/>
      <c r="C32" s="91"/>
      <c r="D32" s="91"/>
    </row>
    <row r="33" spans="2:4" ht="15.75">
      <c r="B33" s="90" t="s">
        <v>138</v>
      </c>
      <c r="C33" s="90"/>
      <c r="D33" s="90"/>
    </row>
    <row r="34" spans="2:4" ht="15.75">
      <c r="B34" s="213" t="s">
        <v>140</v>
      </c>
      <c r="C34" s="213"/>
      <c r="D34" s="213"/>
    </row>
    <row r="35" spans="2:4" ht="15.75">
      <c r="B35" s="208" t="s">
        <v>76</v>
      </c>
      <c r="C35" s="208"/>
      <c r="D35" s="208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5" sqref="L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85.5" customHeight="1">
      <c r="A1" s="222" t="s">
        <v>83</v>
      </c>
      <c r="B1" s="222"/>
      <c r="C1" s="222"/>
      <c r="D1" s="222"/>
      <c r="E1" s="222"/>
      <c r="F1" s="222"/>
      <c r="G1" s="222"/>
      <c r="H1" s="222"/>
    </row>
    <row r="2" spans="1:8" ht="61.5" customHeight="1">
      <c r="A2" s="223" t="s">
        <v>84</v>
      </c>
      <c r="B2" s="223"/>
      <c r="C2" s="223"/>
      <c r="D2" s="223"/>
      <c r="E2" s="223"/>
      <c r="F2" s="223"/>
      <c r="G2" s="223"/>
      <c r="H2" s="223"/>
    </row>
    <row r="3" spans="2:6" ht="18.75">
      <c r="B3" s="1" t="s">
        <v>85</v>
      </c>
      <c r="C3" s="2"/>
      <c r="D3" s="2" t="s">
        <v>0</v>
      </c>
      <c r="E3" s="27">
        <v>2662.1</v>
      </c>
      <c r="F3" s="2"/>
    </row>
    <row r="4" spans="2:6" ht="15.75">
      <c r="B4" s="3" t="s">
        <v>1</v>
      </c>
      <c r="C4" s="35">
        <v>5</v>
      </c>
      <c r="D4" s="2" t="s">
        <v>2</v>
      </c>
      <c r="E4" s="28">
        <v>59</v>
      </c>
      <c r="F4" s="2"/>
    </row>
    <row r="5" spans="2:12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L5" t="s">
        <v>200</v>
      </c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2" t="s">
        <v>62</v>
      </c>
      <c r="B7" s="214"/>
      <c r="C7" s="214"/>
      <c r="D7" s="214"/>
      <c r="E7" s="11" t="s">
        <v>6</v>
      </c>
      <c r="F7" s="11" t="s">
        <v>7</v>
      </c>
      <c r="G7" s="10" t="s">
        <v>22</v>
      </c>
      <c r="H7" s="10" t="s">
        <v>34</v>
      </c>
    </row>
    <row r="8" spans="1:8" ht="15.75">
      <c r="A8" s="23"/>
      <c r="B8" s="216" t="s">
        <v>66</v>
      </c>
      <c r="C8" s="217"/>
      <c r="D8" s="217"/>
      <c r="E8" s="217"/>
      <c r="F8" s="218"/>
      <c r="G8" s="15"/>
      <c r="H8" s="16"/>
    </row>
    <row r="9" spans="1:8" ht="15.75">
      <c r="A9" s="23"/>
      <c r="B9" s="219" t="s">
        <v>67</v>
      </c>
      <c r="C9" s="219"/>
      <c r="D9" s="219"/>
      <c r="E9" s="219"/>
      <c r="F9" s="219"/>
      <c r="G9" s="15"/>
      <c r="H9" s="31">
        <v>14077.93</v>
      </c>
    </row>
    <row r="10" spans="1:8" ht="15.75">
      <c r="A10" s="23">
        <v>1</v>
      </c>
      <c r="B10" s="215" t="s">
        <v>64</v>
      </c>
      <c r="C10" s="215"/>
      <c r="D10" s="215"/>
      <c r="E10" s="215"/>
      <c r="F10" s="215"/>
      <c r="G10" s="15"/>
      <c r="H10" s="42">
        <v>273710.66</v>
      </c>
    </row>
    <row r="11" spans="1:8" ht="15.75">
      <c r="A11" s="23"/>
      <c r="B11" s="215" t="s">
        <v>68</v>
      </c>
      <c r="C11" s="215"/>
      <c r="D11" s="215"/>
      <c r="E11" s="215"/>
      <c r="F11" s="215"/>
      <c r="G11" s="15"/>
      <c r="H11" s="36">
        <f>H10*0.9</f>
        <v>246339.59399999998</v>
      </c>
    </row>
    <row r="12" spans="1:8" ht="15.75" customHeight="1">
      <c r="A12" s="23"/>
      <c r="B12" s="215" t="s">
        <v>69</v>
      </c>
      <c r="C12" s="215"/>
      <c r="D12" s="215"/>
      <c r="E12" s="215"/>
      <c r="F12" s="215"/>
      <c r="G12" s="15"/>
      <c r="H12" s="36">
        <f>H10-H11</f>
        <v>27371.06599999999</v>
      </c>
    </row>
    <row r="13" spans="1:8" ht="15.75" customHeight="1">
      <c r="A13" s="23">
        <v>2</v>
      </c>
      <c r="B13" s="215" t="s">
        <v>65</v>
      </c>
      <c r="C13" s="215"/>
      <c r="D13" s="215"/>
      <c r="E13" s="215"/>
      <c r="F13" s="215"/>
      <c r="G13" s="15"/>
      <c r="H13" s="42">
        <v>266834.74</v>
      </c>
    </row>
    <row r="14" spans="1:8" ht="15.75" customHeight="1">
      <c r="A14" s="23">
        <v>3</v>
      </c>
      <c r="B14" s="215" t="s">
        <v>70</v>
      </c>
      <c r="C14" s="215"/>
      <c r="D14" s="215"/>
      <c r="E14" s="215"/>
      <c r="F14" s="215"/>
      <c r="G14" s="15"/>
      <c r="H14" s="36">
        <f>H10-H13</f>
        <v>6875.919999999984</v>
      </c>
    </row>
    <row r="15" spans="1:8" ht="15.75" customHeight="1">
      <c r="A15" s="23">
        <v>4</v>
      </c>
      <c r="B15" s="219" t="s">
        <v>71</v>
      </c>
      <c r="C15" s="219"/>
      <c r="D15" s="219"/>
      <c r="E15" s="219"/>
      <c r="F15" s="219"/>
      <c r="G15" s="15"/>
      <c r="H15" s="37">
        <f>H9+H10-H13</f>
        <v>20953.849999999977</v>
      </c>
    </row>
    <row r="16" spans="1:8" ht="18.75">
      <c r="A16" s="23">
        <v>5</v>
      </c>
      <c r="B16" s="224" t="s">
        <v>77</v>
      </c>
      <c r="C16" s="224"/>
      <c r="D16" s="224"/>
      <c r="E16" s="224"/>
      <c r="F16" s="224"/>
      <c r="G16" s="17"/>
      <c r="H16" s="18"/>
    </row>
    <row r="17" spans="1:8" ht="15.75">
      <c r="A17" s="23" t="s">
        <v>41</v>
      </c>
      <c r="B17" s="19" t="s">
        <v>78</v>
      </c>
      <c r="C17" s="19"/>
      <c r="D17" s="19"/>
      <c r="E17" s="19"/>
      <c r="F17" s="5"/>
      <c r="G17" s="20"/>
      <c r="H17" s="20"/>
    </row>
    <row r="18" spans="1:8" ht="31.5">
      <c r="A18" s="29" t="s">
        <v>42</v>
      </c>
      <c r="B18" s="225" t="s">
        <v>18</v>
      </c>
      <c r="C18" s="225"/>
      <c r="D18" s="225"/>
      <c r="E18" s="6" t="s">
        <v>33</v>
      </c>
      <c r="F18" s="6" t="s">
        <v>25</v>
      </c>
      <c r="G18" s="12">
        <v>0.9</v>
      </c>
      <c r="H18" s="38">
        <f>ROUND(G18*$E$3*12,2)</f>
        <v>28750.68</v>
      </c>
    </row>
    <row r="19" spans="1:8" ht="15.75">
      <c r="A19" s="30" t="s">
        <v>43</v>
      </c>
      <c r="B19" s="225" t="s">
        <v>17</v>
      </c>
      <c r="C19" s="225"/>
      <c r="D19" s="225"/>
      <c r="E19" s="6" t="s">
        <v>33</v>
      </c>
      <c r="F19" s="6" t="s">
        <v>19</v>
      </c>
      <c r="G19" s="12">
        <v>0.26</v>
      </c>
      <c r="H19" s="38">
        <f aca="true" t="shared" si="0" ref="H19:H31">ROUND(G19*$E$3*12,2)</f>
        <v>8305.75</v>
      </c>
    </row>
    <row r="20" spans="1:8" ht="15.75">
      <c r="A20" s="29" t="s">
        <v>44</v>
      </c>
      <c r="B20" s="220" t="s">
        <v>23</v>
      </c>
      <c r="C20" s="220"/>
      <c r="D20" s="220"/>
      <c r="E20" s="7" t="s">
        <v>8</v>
      </c>
      <c r="F20" s="7" t="s">
        <v>20</v>
      </c>
      <c r="G20" s="12">
        <v>0.32</v>
      </c>
      <c r="H20" s="38">
        <f t="shared" si="0"/>
        <v>10222.46</v>
      </c>
    </row>
    <row r="21" spans="1:8" ht="33" customHeight="1">
      <c r="A21" s="30" t="s">
        <v>45</v>
      </c>
      <c r="B21" s="226" t="s">
        <v>32</v>
      </c>
      <c r="C21" s="226"/>
      <c r="D21" s="226"/>
      <c r="E21" s="8" t="s">
        <v>9</v>
      </c>
      <c r="F21" s="8" t="s">
        <v>10</v>
      </c>
      <c r="G21" s="12">
        <v>0.46</v>
      </c>
      <c r="H21" s="38">
        <f t="shared" si="0"/>
        <v>14694.79</v>
      </c>
    </row>
    <row r="22" spans="1:8" ht="63">
      <c r="A22" s="29" t="s">
        <v>48</v>
      </c>
      <c r="B22" s="220" t="s">
        <v>28</v>
      </c>
      <c r="C22" s="220"/>
      <c r="D22" s="220"/>
      <c r="E22" s="7" t="s">
        <v>35</v>
      </c>
      <c r="F22" s="7" t="s">
        <v>26</v>
      </c>
      <c r="G22" s="12">
        <v>0.11</v>
      </c>
      <c r="H22" s="38">
        <f t="shared" si="0"/>
        <v>3513.97</v>
      </c>
    </row>
    <row r="23" spans="1:8" ht="31.5">
      <c r="A23" s="30" t="s">
        <v>46</v>
      </c>
      <c r="B23" s="220" t="s">
        <v>11</v>
      </c>
      <c r="C23" s="220"/>
      <c r="D23" s="220"/>
      <c r="E23" s="7" t="s">
        <v>9</v>
      </c>
      <c r="F23" s="7" t="s">
        <v>12</v>
      </c>
      <c r="G23" s="12">
        <v>0</v>
      </c>
      <c r="H23" s="38">
        <f t="shared" si="0"/>
        <v>0</v>
      </c>
    </row>
    <row r="24" spans="1:8" ht="15.75">
      <c r="A24" s="29" t="s">
        <v>47</v>
      </c>
      <c r="B24" s="220" t="s">
        <v>27</v>
      </c>
      <c r="C24" s="221"/>
      <c r="D24" s="221"/>
      <c r="E24" s="9" t="s">
        <v>13</v>
      </c>
      <c r="F24" s="9" t="s">
        <v>14</v>
      </c>
      <c r="G24" s="12">
        <v>0.04</v>
      </c>
      <c r="H24" s="38">
        <f t="shared" si="0"/>
        <v>1277.81</v>
      </c>
    </row>
    <row r="25" spans="1:8" ht="36.75" customHeight="1">
      <c r="A25" s="30" t="s">
        <v>49</v>
      </c>
      <c r="B25" s="220" t="s">
        <v>24</v>
      </c>
      <c r="C25" s="220"/>
      <c r="D25" s="220"/>
      <c r="E25" s="9" t="s">
        <v>13</v>
      </c>
      <c r="F25" s="7" t="s">
        <v>80</v>
      </c>
      <c r="G25" s="12">
        <v>0.22</v>
      </c>
      <c r="H25" s="38">
        <f t="shared" si="0"/>
        <v>7027.94</v>
      </c>
    </row>
    <row r="26" spans="1:8" ht="31.5">
      <c r="A26" s="29" t="s">
        <v>50</v>
      </c>
      <c r="B26" s="220" t="s">
        <v>36</v>
      </c>
      <c r="C26" s="220"/>
      <c r="D26" s="220"/>
      <c r="E26" s="6" t="s">
        <v>37</v>
      </c>
      <c r="F26" s="7" t="s">
        <v>80</v>
      </c>
      <c r="G26" s="12">
        <v>2.5</v>
      </c>
      <c r="H26" s="38">
        <f t="shared" si="0"/>
        <v>79863</v>
      </c>
    </row>
    <row r="27" spans="1:8" ht="31.5">
      <c r="A27" s="30" t="s">
        <v>51</v>
      </c>
      <c r="B27" s="225" t="s">
        <v>15</v>
      </c>
      <c r="C27" s="225"/>
      <c r="D27" s="225"/>
      <c r="E27" s="6" t="s">
        <v>37</v>
      </c>
      <c r="F27" s="7" t="s">
        <v>80</v>
      </c>
      <c r="G27" s="12">
        <v>0.38</v>
      </c>
      <c r="H27" s="38">
        <f t="shared" si="0"/>
        <v>12139.18</v>
      </c>
    </row>
    <row r="28" spans="1:8" ht="31.5">
      <c r="A28" s="29" t="s">
        <v>52</v>
      </c>
      <c r="B28" s="227" t="s">
        <v>38</v>
      </c>
      <c r="C28" s="228"/>
      <c r="D28" s="228"/>
      <c r="E28" s="6" t="s">
        <v>37</v>
      </c>
      <c r="F28" s="7" t="s">
        <v>80</v>
      </c>
      <c r="G28" s="13">
        <f>1.82-G29-G30</f>
        <v>1.82</v>
      </c>
      <c r="H28" s="38">
        <f t="shared" si="0"/>
        <v>58140.26</v>
      </c>
    </row>
    <row r="29" spans="1:8" ht="31.5">
      <c r="A29" s="30" t="s">
        <v>53</v>
      </c>
      <c r="B29" s="220" t="s">
        <v>29</v>
      </c>
      <c r="C29" s="220"/>
      <c r="D29" s="220"/>
      <c r="E29" s="6" t="s">
        <v>37</v>
      </c>
      <c r="F29" s="7" t="s">
        <v>80</v>
      </c>
      <c r="G29" s="13">
        <v>0</v>
      </c>
      <c r="H29" s="38">
        <f t="shared" si="0"/>
        <v>0</v>
      </c>
    </row>
    <row r="30" spans="1:8" ht="31.5">
      <c r="A30" s="29" t="s">
        <v>54</v>
      </c>
      <c r="B30" s="220" t="s">
        <v>30</v>
      </c>
      <c r="C30" s="220"/>
      <c r="D30" s="220"/>
      <c r="E30" s="6" t="s">
        <v>37</v>
      </c>
      <c r="F30" s="7" t="s">
        <v>80</v>
      </c>
      <c r="G30" s="13">
        <v>0</v>
      </c>
      <c r="H30" s="38">
        <f t="shared" si="0"/>
        <v>0</v>
      </c>
    </row>
    <row r="31" spans="1:8" ht="31.5">
      <c r="A31" s="30" t="s">
        <v>55</v>
      </c>
      <c r="B31" s="221" t="s">
        <v>21</v>
      </c>
      <c r="C31" s="221"/>
      <c r="D31" s="221"/>
      <c r="E31" s="6" t="s">
        <v>37</v>
      </c>
      <c r="F31" s="7" t="s">
        <v>80</v>
      </c>
      <c r="G31" s="9">
        <v>0.88</v>
      </c>
      <c r="H31" s="38">
        <f t="shared" si="0"/>
        <v>28111.78</v>
      </c>
    </row>
    <row r="32" spans="1:8" ht="15.75">
      <c r="A32" s="23" t="s">
        <v>56</v>
      </c>
      <c r="B32" s="235" t="s">
        <v>31</v>
      </c>
      <c r="C32" s="235"/>
      <c r="D32" s="235"/>
      <c r="E32" s="14"/>
      <c r="F32" s="7"/>
      <c r="G32" s="21">
        <f>SUM(G18:G31)</f>
        <v>7.890000000000001</v>
      </c>
      <c r="H32" s="39">
        <f>SUM(H18:H31)</f>
        <v>252047.62000000002</v>
      </c>
    </row>
    <row r="33" spans="1:8" ht="15.75">
      <c r="A33" s="23" t="s">
        <v>57</v>
      </c>
      <c r="B33" s="219" t="s">
        <v>39</v>
      </c>
      <c r="C33" s="221"/>
      <c r="D33" s="221"/>
      <c r="E33" s="14"/>
      <c r="F33" s="7" t="s">
        <v>80</v>
      </c>
      <c r="G33" s="24">
        <f>H33/E3/12</f>
        <v>0.6730275596959795</v>
      </c>
      <c r="H33" s="25">
        <v>21500</v>
      </c>
    </row>
    <row r="34" spans="1:8" ht="18.75">
      <c r="A34" s="26" t="s">
        <v>58</v>
      </c>
      <c r="B34" s="236" t="s">
        <v>79</v>
      </c>
      <c r="C34" s="236"/>
      <c r="D34" s="236"/>
      <c r="E34" s="236"/>
      <c r="F34" s="236"/>
      <c r="G34" s="21">
        <f>SUM(G32:G33)</f>
        <v>8.56302755969598</v>
      </c>
      <c r="H34" s="41">
        <f>SUM(H32:H33)</f>
        <v>273547.62</v>
      </c>
    </row>
    <row r="35" spans="1:8" ht="18.75">
      <c r="A35" s="23" t="s">
        <v>63</v>
      </c>
      <c r="B35" s="232" t="s">
        <v>40</v>
      </c>
      <c r="C35" s="233"/>
      <c r="D35" s="233"/>
      <c r="E35" s="233"/>
      <c r="F35" s="233"/>
      <c r="G35" s="234"/>
      <c r="H35" s="32"/>
    </row>
    <row r="36" spans="1:8" ht="15.75" customHeight="1">
      <c r="A36" s="23" t="s">
        <v>59</v>
      </c>
      <c r="B36" s="229" t="s">
        <v>72</v>
      </c>
      <c r="C36" s="230"/>
      <c r="D36" s="230"/>
      <c r="E36" s="230"/>
      <c r="F36" s="230"/>
      <c r="G36" s="231"/>
      <c r="H36" s="33">
        <v>-148397.53</v>
      </c>
    </row>
    <row r="37" spans="1:8" ht="15.75" customHeight="1">
      <c r="A37" s="23" t="s">
        <v>60</v>
      </c>
      <c r="B37" s="229" t="s">
        <v>73</v>
      </c>
      <c r="C37" s="230"/>
      <c r="D37" s="230"/>
      <c r="E37" s="230"/>
      <c r="F37" s="230"/>
      <c r="G37" s="231"/>
      <c r="H37" s="40">
        <f>H13-H34</f>
        <v>-6712.880000000005</v>
      </c>
    </row>
    <row r="38" spans="1:8" ht="15.75" customHeight="1">
      <c r="A38" s="23" t="s">
        <v>61</v>
      </c>
      <c r="B38" s="229" t="s">
        <v>74</v>
      </c>
      <c r="C38" s="230"/>
      <c r="D38" s="230"/>
      <c r="E38" s="230"/>
      <c r="F38" s="230"/>
      <c r="G38" s="231"/>
      <c r="H38" s="40">
        <f>H36+H37</f>
        <v>-155110.41</v>
      </c>
    </row>
    <row r="39" spans="2:6" ht="19.5" customHeight="1">
      <c r="B39" s="34" t="s">
        <v>75</v>
      </c>
      <c r="F39" s="34" t="s">
        <v>81</v>
      </c>
    </row>
    <row r="40" spans="2:6" ht="15.75">
      <c r="B40" s="34" t="s">
        <v>82</v>
      </c>
      <c r="C40" s="34"/>
      <c r="D40" s="34"/>
      <c r="E40" s="34"/>
      <c r="F40" s="34" t="s">
        <v>86</v>
      </c>
    </row>
    <row r="41" ht="15.75">
      <c r="B41" t="s">
        <v>76</v>
      </c>
    </row>
  </sheetData>
  <sheetProtection/>
  <mergeCells count="33">
    <mergeCell ref="B38:G38"/>
    <mergeCell ref="B35:G35"/>
    <mergeCell ref="B31:D31"/>
    <mergeCell ref="B32:D32"/>
    <mergeCell ref="B33:D33"/>
    <mergeCell ref="B34:F34"/>
    <mergeCell ref="B36:G36"/>
    <mergeCell ref="B37:G37"/>
    <mergeCell ref="B25:D25"/>
    <mergeCell ref="B26:D26"/>
    <mergeCell ref="B27:D27"/>
    <mergeCell ref="B28:D28"/>
    <mergeCell ref="A1:H1"/>
    <mergeCell ref="A2:H2"/>
    <mergeCell ref="B29:D29"/>
    <mergeCell ref="B30:D30"/>
    <mergeCell ref="B16:F16"/>
    <mergeCell ref="B18:D18"/>
    <mergeCell ref="B19:D19"/>
    <mergeCell ref="B20:D20"/>
    <mergeCell ref="B21:D21"/>
    <mergeCell ref="B22:D22"/>
    <mergeCell ref="B23:D23"/>
    <mergeCell ref="B24:D24"/>
    <mergeCell ref="B13:F13"/>
    <mergeCell ref="B14:F14"/>
    <mergeCell ref="B15:F15"/>
    <mergeCell ref="B7:D7"/>
    <mergeCell ref="B12:F12"/>
    <mergeCell ref="B8:F8"/>
    <mergeCell ref="B9:F9"/>
    <mergeCell ref="B10:F10"/>
    <mergeCell ref="B11:F11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2">
      <selection activeCell="A1" sqref="A1:IV16384"/>
    </sheetView>
  </sheetViews>
  <sheetFormatPr defaultColWidth="9.00390625" defaultRowHeight="15.75"/>
  <cols>
    <col min="1" max="1" width="8.125" style="0" customWidth="1"/>
    <col min="2" max="2" width="26.25390625" style="0" customWidth="1"/>
    <col min="3" max="3" width="4.25390625" style="0" customWidth="1"/>
    <col min="4" max="4" width="24.875" style="0" customWidth="1"/>
    <col min="5" max="5" width="16.125" style="0" customWidth="1"/>
    <col min="6" max="6" width="16.00390625" style="0" hidden="1" customWidth="1"/>
    <col min="7" max="7" width="9.125" style="0" hidden="1" customWidth="1"/>
    <col min="8" max="8" width="10.375" style="0" customWidth="1"/>
    <col min="9" max="9" width="12.00390625" style="0" customWidth="1"/>
    <col min="10" max="10" width="11.125" style="0" customWidth="1"/>
  </cols>
  <sheetData>
    <row r="1" spans="1:10" ht="78" customHeight="1">
      <c r="A1" s="222" t="s">
        <v>201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51" customHeight="1">
      <c r="A2" s="223" t="s">
        <v>202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9" ht="18.75">
      <c r="A3" s="1"/>
      <c r="B3" s="1" t="s">
        <v>85</v>
      </c>
      <c r="C3" s="2"/>
      <c r="D3" s="2" t="s">
        <v>0</v>
      </c>
      <c r="E3" s="27">
        <v>2662.1</v>
      </c>
      <c r="G3" s="92"/>
      <c r="H3" s="92"/>
      <c r="I3" s="92">
        <v>550.8</v>
      </c>
    </row>
    <row r="4" spans="2:9" ht="15.75">
      <c r="B4" s="3" t="s">
        <v>1</v>
      </c>
      <c r="C4" s="35">
        <v>5</v>
      </c>
      <c r="D4" s="2" t="s">
        <v>2</v>
      </c>
      <c r="E4" s="28">
        <v>59</v>
      </c>
      <c r="I4" t="s">
        <v>107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 t="s">
        <v>141</v>
      </c>
    </row>
    <row r="6" spans="2:9" ht="15.75">
      <c r="B6" s="3"/>
      <c r="C6" s="4"/>
      <c r="D6" s="2" t="s">
        <v>5</v>
      </c>
      <c r="E6" s="2" t="s">
        <v>16</v>
      </c>
      <c r="F6" s="2"/>
      <c r="I6" t="s">
        <v>142</v>
      </c>
    </row>
    <row r="7" spans="1:10" ht="54" customHeight="1">
      <c r="A7" s="11" t="s">
        <v>62</v>
      </c>
      <c r="B7" s="260" t="s">
        <v>143</v>
      </c>
      <c r="C7" s="261"/>
      <c r="D7" s="262"/>
      <c r="E7" s="11" t="s">
        <v>6</v>
      </c>
      <c r="F7" s="11" t="s">
        <v>7</v>
      </c>
      <c r="G7" s="94" t="s">
        <v>22</v>
      </c>
      <c r="H7" s="263" t="s">
        <v>144</v>
      </c>
      <c r="I7" s="264"/>
      <c r="J7" s="265"/>
    </row>
    <row r="8" spans="1:10" ht="15.75">
      <c r="A8" s="23">
        <v>1</v>
      </c>
      <c r="B8" s="216"/>
      <c r="C8" s="217"/>
      <c r="D8" s="217"/>
      <c r="E8" s="217"/>
      <c r="F8" s="218"/>
      <c r="G8" s="95"/>
      <c r="H8" s="96" t="s">
        <v>145</v>
      </c>
      <c r="I8" s="97" t="s">
        <v>146</v>
      </c>
      <c r="J8" s="97" t="s">
        <v>147</v>
      </c>
    </row>
    <row r="9" spans="1:10" ht="15.75">
      <c r="A9" s="23"/>
      <c r="B9" s="216" t="s">
        <v>148</v>
      </c>
      <c r="C9" s="217"/>
      <c r="D9" s="217"/>
      <c r="E9" s="217"/>
      <c r="F9" s="218"/>
      <c r="G9" s="98"/>
      <c r="H9" s="98"/>
      <c r="I9" s="72"/>
      <c r="J9" s="97"/>
    </row>
    <row r="10" spans="1:10" ht="15.75" customHeight="1">
      <c r="A10" s="99"/>
      <c r="B10" s="266" t="s">
        <v>149</v>
      </c>
      <c r="C10" s="267"/>
      <c r="D10" s="267"/>
      <c r="E10" s="267"/>
      <c r="F10" s="268"/>
      <c r="G10" s="15"/>
      <c r="H10" s="33">
        <v>273470.06</v>
      </c>
      <c r="I10" s="49"/>
      <c r="J10" s="73">
        <f>H10+I10</f>
        <v>273470.06</v>
      </c>
    </row>
    <row r="11" spans="1:10" ht="15.75" customHeight="1">
      <c r="A11" s="99"/>
      <c r="B11" s="266" t="s">
        <v>150</v>
      </c>
      <c r="C11" s="267"/>
      <c r="D11" s="267"/>
      <c r="E11" s="267"/>
      <c r="F11" s="268"/>
      <c r="G11" s="15"/>
      <c r="H11" s="123">
        <v>15347.97</v>
      </c>
      <c r="I11" s="49"/>
      <c r="J11" s="73">
        <f>H11+I11</f>
        <v>15347.97</v>
      </c>
    </row>
    <row r="12" spans="1:10" ht="15.75" customHeight="1">
      <c r="A12" s="23"/>
      <c r="B12" s="266" t="s">
        <v>151</v>
      </c>
      <c r="C12" s="267"/>
      <c r="D12" s="267"/>
      <c r="E12" s="267"/>
      <c r="F12" s="268"/>
      <c r="G12" s="15"/>
      <c r="H12" s="100"/>
      <c r="I12" s="80">
        <v>40357.12</v>
      </c>
      <c r="J12" s="73">
        <f>H12+I12</f>
        <v>40357.12</v>
      </c>
    </row>
    <row r="13" spans="1:10" ht="15.75">
      <c r="A13" s="23"/>
      <c r="B13" s="266" t="s">
        <v>152</v>
      </c>
      <c r="C13" s="267"/>
      <c r="D13" s="267"/>
      <c r="E13" s="267"/>
      <c r="F13" s="268"/>
      <c r="G13" s="15"/>
      <c r="H13" s="100"/>
      <c r="I13" s="101">
        <v>0</v>
      </c>
      <c r="J13" s="73">
        <f>H13+I13</f>
        <v>0</v>
      </c>
    </row>
    <row r="14" spans="1:10" ht="15.75">
      <c r="A14" s="23"/>
      <c r="B14" s="254" t="s">
        <v>153</v>
      </c>
      <c r="C14" s="255"/>
      <c r="D14" s="255"/>
      <c r="E14" s="255"/>
      <c r="F14" s="256"/>
      <c r="G14" s="15"/>
      <c r="H14" s="37">
        <f>SUM(H10:H12)</f>
        <v>288818.02999999997</v>
      </c>
      <c r="I14" s="102">
        <f>SUM(I12:I13)</f>
        <v>40357.12</v>
      </c>
      <c r="J14" s="119">
        <f>SUM(J10:J13)</f>
        <v>329175.14999999997</v>
      </c>
    </row>
    <row r="15" spans="1:10" ht="18.75" customHeight="1">
      <c r="A15" s="23">
        <v>2</v>
      </c>
      <c r="B15" s="257" t="s">
        <v>77</v>
      </c>
      <c r="C15" s="258"/>
      <c r="D15" s="258"/>
      <c r="E15" s="258"/>
      <c r="F15" s="259"/>
      <c r="G15" s="15"/>
      <c r="H15" s="100"/>
      <c r="I15" s="49"/>
      <c r="J15" s="77"/>
    </row>
    <row r="16" spans="1:10" ht="15.75">
      <c r="A16" s="23"/>
      <c r="B16" s="19" t="s">
        <v>78</v>
      </c>
      <c r="C16" s="19"/>
      <c r="D16" s="19"/>
      <c r="E16" s="19"/>
      <c r="F16" s="5"/>
      <c r="G16" s="96"/>
      <c r="H16" s="96"/>
      <c r="I16" s="93"/>
      <c r="J16" s="97"/>
    </row>
    <row r="17" spans="1:10" ht="26.25" customHeight="1">
      <c r="A17" s="103"/>
      <c r="B17" s="251" t="s">
        <v>197</v>
      </c>
      <c r="C17" s="252"/>
      <c r="D17" s="253"/>
      <c r="E17" s="104" t="s">
        <v>33</v>
      </c>
      <c r="F17" s="55" t="s">
        <v>25</v>
      </c>
      <c r="G17" s="56">
        <v>0.92</v>
      </c>
      <c r="H17" s="105">
        <f>ROUND(G17*$E$3*12,2)</f>
        <v>29389.58</v>
      </c>
      <c r="I17" s="124">
        <f>$I$12*0.08</f>
        <v>3228.5696000000003</v>
      </c>
      <c r="J17" s="102">
        <f>SUM(H17:I17)</f>
        <v>32618.1496</v>
      </c>
    </row>
    <row r="18" spans="1:10" ht="26.25" customHeight="1">
      <c r="A18" s="23"/>
      <c r="B18" s="198" t="s">
        <v>17</v>
      </c>
      <c r="C18" s="199"/>
      <c r="D18" s="200"/>
      <c r="E18" s="104" t="s">
        <v>33</v>
      </c>
      <c r="F18" s="55" t="s">
        <v>19</v>
      </c>
      <c r="G18" s="56">
        <v>0.26</v>
      </c>
      <c r="H18" s="105">
        <f>ROUND(G18*$E$3*12,2)</f>
        <v>8305.75</v>
      </c>
      <c r="I18" s="124">
        <f>$I$12*0.02</f>
        <v>807.1424000000001</v>
      </c>
      <c r="J18" s="102">
        <f aca="true" t="shared" si="0" ref="J18:J37">SUM(H18:I18)</f>
        <v>9112.8924</v>
      </c>
    </row>
    <row r="19" spans="1:10" ht="26.25" customHeight="1">
      <c r="A19" s="23"/>
      <c r="B19" s="248" t="s">
        <v>23</v>
      </c>
      <c r="C19" s="249"/>
      <c r="D19" s="250"/>
      <c r="E19" s="106" t="s">
        <v>154</v>
      </c>
      <c r="F19" s="57" t="s">
        <v>20</v>
      </c>
      <c r="G19" s="56">
        <v>0.35</v>
      </c>
      <c r="H19" s="105">
        <f>J19-I19</f>
        <v>2041.7915999999996</v>
      </c>
      <c r="I19" s="124">
        <f>$I$12*0.07</f>
        <v>2824.9984000000004</v>
      </c>
      <c r="J19" s="125">
        <v>4866.79</v>
      </c>
    </row>
    <row r="20" spans="1:10" ht="26.25" customHeight="1">
      <c r="A20" s="103"/>
      <c r="B20" s="251" t="s">
        <v>32</v>
      </c>
      <c r="C20" s="252"/>
      <c r="D20" s="253"/>
      <c r="E20" s="107" t="s">
        <v>9</v>
      </c>
      <c r="F20" s="58" t="s">
        <v>10</v>
      </c>
      <c r="G20" s="56">
        <v>0.46</v>
      </c>
      <c r="H20" s="105">
        <f>ROUND(G20*$E$3*12,2)</f>
        <v>14694.79</v>
      </c>
      <c r="I20" s="124">
        <f>$I$12*0.04</f>
        <v>1614.2848000000001</v>
      </c>
      <c r="J20" s="102">
        <f t="shared" si="0"/>
        <v>16309.0748</v>
      </c>
    </row>
    <row r="21" spans="1:10" ht="26.25" customHeight="1">
      <c r="A21" s="23"/>
      <c r="B21" s="248" t="s">
        <v>28</v>
      </c>
      <c r="C21" s="249"/>
      <c r="D21" s="250"/>
      <c r="E21" s="106" t="s">
        <v>155</v>
      </c>
      <c r="F21" s="57" t="s">
        <v>26</v>
      </c>
      <c r="G21" s="56">
        <v>0.11</v>
      </c>
      <c r="H21" s="105">
        <f>J21-I21</f>
        <v>3788.5888</v>
      </c>
      <c r="I21" s="124">
        <f>$I$12*0.01</f>
        <v>403.57120000000003</v>
      </c>
      <c r="J21" s="125">
        <v>4192.16</v>
      </c>
    </row>
    <row r="22" spans="1:10" ht="18" customHeight="1">
      <c r="A22" s="103"/>
      <c r="B22" s="248" t="s">
        <v>11</v>
      </c>
      <c r="C22" s="249"/>
      <c r="D22" s="250"/>
      <c r="E22" s="106" t="s">
        <v>9</v>
      </c>
      <c r="F22" s="57" t="s">
        <v>12</v>
      </c>
      <c r="G22" s="56">
        <v>0</v>
      </c>
      <c r="H22" s="105">
        <f>J22-I22</f>
        <v>0</v>
      </c>
      <c r="I22" s="124">
        <f>$I$12*0</f>
        <v>0</v>
      </c>
      <c r="J22" s="125">
        <f>G22*E3*12</f>
        <v>0</v>
      </c>
    </row>
    <row r="23" spans="1:10" ht="18.75" customHeight="1">
      <c r="A23" s="103"/>
      <c r="B23" s="248" t="s">
        <v>27</v>
      </c>
      <c r="C23" s="249"/>
      <c r="D23" s="250"/>
      <c r="E23" s="108" t="s">
        <v>13</v>
      </c>
      <c r="F23" s="53" t="s">
        <v>14</v>
      </c>
      <c r="G23" s="56">
        <v>0.04</v>
      </c>
      <c r="H23" s="105">
        <f>J23-I23</f>
        <v>0</v>
      </c>
      <c r="I23" s="124">
        <v>0</v>
      </c>
      <c r="J23" s="125">
        <v>0</v>
      </c>
    </row>
    <row r="24" spans="1:10" ht="26.25" customHeight="1">
      <c r="A24" s="23"/>
      <c r="B24" s="248" t="s">
        <v>156</v>
      </c>
      <c r="C24" s="249"/>
      <c r="D24" s="250"/>
      <c r="E24" s="104" t="s">
        <v>37</v>
      </c>
      <c r="F24" s="109" t="s">
        <v>80</v>
      </c>
      <c r="G24" s="56">
        <v>1.87</v>
      </c>
      <c r="H24" s="105">
        <f aca="true" t="shared" si="1" ref="H24:H29">ROUND(G24*$E$3*12,2)</f>
        <v>59737.52</v>
      </c>
      <c r="I24" s="124">
        <f>$I$12*0.19</f>
        <v>7667.852800000001</v>
      </c>
      <c r="J24" s="102">
        <f t="shared" si="0"/>
        <v>67405.3728</v>
      </c>
    </row>
    <row r="25" spans="1:10" ht="26.25" customHeight="1">
      <c r="A25" s="23"/>
      <c r="B25" s="198" t="s">
        <v>15</v>
      </c>
      <c r="C25" s="199"/>
      <c r="D25" s="200"/>
      <c r="E25" s="104" t="s">
        <v>37</v>
      </c>
      <c r="F25" s="109" t="s">
        <v>80</v>
      </c>
      <c r="G25" s="56">
        <v>0.38</v>
      </c>
      <c r="H25" s="110">
        <f t="shared" si="1"/>
        <v>12139.18</v>
      </c>
      <c r="I25" s="124">
        <v>0</v>
      </c>
      <c r="J25" s="102">
        <f t="shared" si="0"/>
        <v>12139.18</v>
      </c>
    </row>
    <row r="26" spans="1:10" ht="26.25" customHeight="1">
      <c r="A26" s="23"/>
      <c r="B26" s="201" t="s">
        <v>38</v>
      </c>
      <c r="C26" s="202"/>
      <c r="D26" s="195"/>
      <c r="E26" s="104" t="s">
        <v>37</v>
      </c>
      <c r="F26" s="109" t="s">
        <v>80</v>
      </c>
      <c r="G26" s="111">
        <f>2.97-G27</f>
        <v>2.97</v>
      </c>
      <c r="H26" s="110">
        <f t="shared" si="1"/>
        <v>94877.24</v>
      </c>
      <c r="I26" s="126">
        <f>$I$12*0.22</f>
        <v>8878.566400000002</v>
      </c>
      <c r="J26" s="102">
        <f t="shared" si="0"/>
        <v>103755.8064</v>
      </c>
    </row>
    <row r="27" spans="1:10" ht="26.25" customHeight="1">
      <c r="A27" s="103"/>
      <c r="B27" s="248" t="s">
        <v>157</v>
      </c>
      <c r="C27" s="249"/>
      <c r="D27" s="250"/>
      <c r="E27" s="104" t="s">
        <v>37</v>
      </c>
      <c r="F27" s="109" t="s">
        <v>80</v>
      </c>
      <c r="G27" s="111">
        <v>0</v>
      </c>
      <c r="H27" s="110">
        <f t="shared" si="1"/>
        <v>0</v>
      </c>
      <c r="I27" s="126">
        <f>$I$12*0</f>
        <v>0</v>
      </c>
      <c r="J27" s="102">
        <f t="shared" si="0"/>
        <v>0</v>
      </c>
    </row>
    <row r="28" spans="1:10" ht="26.25" customHeight="1">
      <c r="A28" s="23"/>
      <c r="B28" s="248" t="s">
        <v>158</v>
      </c>
      <c r="C28" s="249"/>
      <c r="D28" s="250"/>
      <c r="E28" s="106" t="s">
        <v>9</v>
      </c>
      <c r="F28" s="109" t="s">
        <v>80</v>
      </c>
      <c r="G28" s="111">
        <v>0</v>
      </c>
      <c r="H28" s="110">
        <f t="shared" si="1"/>
        <v>0</v>
      </c>
      <c r="I28" s="126">
        <f>$I$12*0</f>
        <v>0</v>
      </c>
      <c r="J28" s="102">
        <f t="shared" si="0"/>
        <v>0</v>
      </c>
    </row>
    <row r="29" spans="1:10" ht="26.25" customHeight="1">
      <c r="A29" s="23"/>
      <c r="B29" s="196" t="s">
        <v>21</v>
      </c>
      <c r="C29" s="192"/>
      <c r="D29" s="193"/>
      <c r="E29" s="106" t="s">
        <v>9</v>
      </c>
      <c r="F29" s="109" t="s">
        <v>80</v>
      </c>
      <c r="G29" s="53">
        <v>0.92</v>
      </c>
      <c r="H29" s="105">
        <f t="shared" si="1"/>
        <v>29389.58</v>
      </c>
      <c r="I29" s="124">
        <f>$I$12*0.1</f>
        <v>4035.7120000000004</v>
      </c>
      <c r="J29" s="102">
        <f t="shared" si="0"/>
        <v>33425.292</v>
      </c>
    </row>
    <row r="30" spans="1:10" ht="26.25" customHeight="1">
      <c r="A30" s="23"/>
      <c r="B30" s="194" t="s">
        <v>159</v>
      </c>
      <c r="C30" s="240"/>
      <c r="D30" s="241"/>
      <c r="E30" s="106" t="s">
        <v>9</v>
      </c>
      <c r="F30" s="109"/>
      <c r="G30" s="53"/>
      <c r="H30" s="110"/>
      <c r="I30" s="101"/>
      <c r="J30" s="112"/>
    </row>
    <row r="31" spans="1:10" ht="26.25" customHeight="1">
      <c r="A31" s="23"/>
      <c r="B31" s="194" t="s">
        <v>160</v>
      </c>
      <c r="C31" s="240"/>
      <c r="D31" s="241"/>
      <c r="E31" s="104" t="s">
        <v>37</v>
      </c>
      <c r="F31" s="109"/>
      <c r="G31" s="53"/>
      <c r="H31" s="110"/>
      <c r="I31" s="101"/>
      <c r="J31" s="112"/>
    </row>
    <row r="32" spans="1:10" ht="26.25" customHeight="1">
      <c r="A32" s="23"/>
      <c r="B32" s="242"/>
      <c r="C32" s="243"/>
      <c r="D32" s="244"/>
      <c r="E32" s="106"/>
      <c r="F32" s="109"/>
      <c r="G32" s="53"/>
      <c r="H32" s="110"/>
      <c r="I32" s="101"/>
      <c r="J32" s="112"/>
    </row>
    <row r="33" spans="1:10" ht="26.25" customHeight="1">
      <c r="A33" s="23"/>
      <c r="B33" s="242"/>
      <c r="C33" s="243"/>
      <c r="D33" s="244"/>
      <c r="E33" s="106"/>
      <c r="F33" s="109"/>
      <c r="G33" s="53"/>
      <c r="H33" s="110"/>
      <c r="I33" s="101"/>
      <c r="J33" s="112"/>
    </row>
    <row r="34" spans="1:10" ht="20.25" customHeight="1">
      <c r="A34" s="23"/>
      <c r="B34" s="245" t="s">
        <v>31</v>
      </c>
      <c r="C34" s="246"/>
      <c r="D34" s="247"/>
      <c r="E34" s="14"/>
      <c r="F34" s="109"/>
      <c r="G34" s="21">
        <f>SUM(G17:G29)</f>
        <v>8.28</v>
      </c>
      <c r="H34" s="113">
        <f>SUM(H17:H33)</f>
        <v>254364.02040000004</v>
      </c>
      <c r="I34" s="113">
        <f>SUM(I17:I33)</f>
        <v>29460.697600000007</v>
      </c>
      <c r="J34" s="113">
        <f>SUM(J17:J33)</f>
        <v>283824.718</v>
      </c>
    </row>
    <row r="35" spans="1:10" ht="18.75" customHeight="1">
      <c r="A35" s="23">
        <v>3</v>
      </c>
      <c r="B35" s="237" t="s">
        <v>161</v>
      </c>
      <c r="C35" s="238"/>
      <c r="D35" s="238"/>
      <c r="E35" s="239"/>
      <c r="F35" s="109" t="s">
        <v>80</v>
      </c>
      <c r="G35" s="24">
        <f>H35/E3/12</f>
        <v>5.005446827692423</v>
      </c>
      <c r="H35" s="114">
        <v>159900</v>
      </c>
      <c r="I35" s="115">
        <v>0</v>
      </c>
      <c r="J35" s="102">
        <f t="shared" si="0"/>
        <v>159900</v>
      </c>
    </row>
    <row r="36" spans="1:10" ht="18.75">
      <c r="A36" s="26"/>
      <c r="B36" s="203" t="s">
        <v>79</v>
      </c>
      <c r="C36" s="204"/>
      <c r="D36" s="204"/>
      <c r="E36" s="204"/>
      <c r="F36" s="205"/>
      <c r="G36" s="21">
        <f>SUM(G34:G35)</f>
        <v>13.285446827692422</v>
      </c>
      <c r="H36" s="116">
        <f>SUM(H34:H35)</f>
        <v>414264.02040000004</v>
      </c>
      <c r="I36" s="41">
        <f>SUM(I34:I35)</f>
        <v>29460.697600000007</v>
      </c>
      <c r="J36" s="116">
        <f>SUM(J34:J35)</f>
        <v>443724.718</v>
      </c>
    </row>
    <row r="37" spans="1:10" ht="15.75">
      <c r="A37" s="23">
        <v>4</v>
      </c>
      <c r="B37" s="206" t="s">
        <v>162</v>
      </c>
      <c r="C37" s="207"/>
      <c r="D37" s="207"/>
      <c r="E37" s="207"/>
      <c r="F37" s="197"/>
      <c r="G37" s="117"/>
      <c r="H37" s="118">
        <v>0</v>
      </c>
      <c r="I37" s="118">
        <v>0</v>
      </c>
      <c r="J37" s="122">
        <f t="shared" si="0"/>
        <v>0</v>
      </c>
    </row>
    <row r="38" spans="1:10" ht="18.75">
      <c r="A38" s="26"/>
      <c r="B38" s="203" t="s">
        <v>163</v>
      </c>
      <c r="C38" s="204"/>
      <c r="D38" s="204"/>
      <c r="E38" s="204"/>
      <c r="F38" s="205"/>
      <c r="G38" s="21">
        <f>SUM(G36:G37)</f>
        <v>13.285446827692422</v>
      </c>
      <c r="H38" s="116">
        <f>SUM(H36:H37)</f>
        <v>414264.02040000004</v>
      </c>
      <c r="I38" s="41">
        <f>SUM(I36:I37)</f>
        <v>29460.697600000007</v>
      </c>
      <c r="J38" s="116">
        <f>SUM(J36:J37)</f>
        <v>443724.718</v>
      </c>
    </row>
    <row r="39" spans="1:10" ht="15.75" customHeight="1">
      <c r="A39" s="23">
        <v>5</v>
      </c>
      <c r="B39" s="229" t="s">
        <v>164</v>
      </c>
      <c r="C39" s="230"/>
      <c r="D39" s="230"/>
      <c r="E39" s="230"/>
      <c r="F39" s="230"/>
      <c r="G39" s="231"/>
      <c r="H39" s="40">
        <f>H14-H38</f>
        <v>-125445.99040000007</v>
      </c>
      <c r="I39" s="105">
        <f>I14-I38</f>
        <v>10896.422399999996</v>
      </c>
      <c r="J39" s="119">
        <f>J14-J38</f>
        <v>-114549.56800000003</v>
      </c>
    </row>
    <row r="41" spans="2:5" ht="15.75">
      <c r="B41" s="91" t="s">
        <v>165</v>
      </c>
      <c r="C41" s="91"/>
      <c r="D41" s="91"/>
      <c r="E41" s="34"/>
    </row>
    <row r="42" spans="2:4" ht="15.75">
      <c r="B42" s="91"/>
      <c r="C42" s="91"/>
      <c r="D42" s="91"/>
    </row>
    <row r="43" spans="2:4" ht="15.75">
      <c r="B43" s="120" t="s">
        <v>198</v>
      </c>
      <c r="C43" s="120"/>
      <c r="D43" s="90"/>
    </row>
    <row r="44" spans="2:4" ht="15.75" customHeight="1">
      <c r="B44" s="208" t="s">
        <v>166</v>
      </c>
      <c r="C44" s="208"/>
      <c r="D44" s="208"/>
    </row>
  </sheetData>
  <sheetProtection/>
  <mergeCells count="36">
    <mergeCell ref="A1:J1"/>
    <mergeCell ref="A2:J2"/>
    <mergeCell ref="B8:F8"/>
    <mergeCell ref="B9:F9"/>
    <mergeCell ref="B14:F14"/>
    <mergeCell ref="B15:F15"/>
    <mergeCell ref="B7:D7"/>
    <mergeCell ref="H7:J7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G39"/>
    <mergeCell ref="B44:D44"/>
    <mergeCell ref="B29:D29"/>
    <mergeCell ref="B30:D30"/>
    <mergeCell ref="B31:D31"/>
    <mergeCell ref="B32:D32"/>
    <mergeCell ref="B33:D33"/>
    <mergeCell ref="B34:D34"/>
    <mergeCell ref="B35:E35"/>
    <mergeCell ref="B36:F36"/>
    <mergeCell ref="B37:F37"/>
    <mergeCell ref="B38:F38"/>
  </mergeCells>
  <printOptions/>
  <pageMargins left="0.3" right="0" top="0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J1"/>
    </sheetView>
  </sheetViews>
  <sheetFormatPr defaultColWidth="9.00390625" defaultRowHeight="15.75"/>
  <cols>
    <col min="1" max="1" width="8.125" style="0" customWidth="1"/>
    <col min="2" max="2" width="26.25390625" style="0" customWidth="1"/>
    <col min="3" max="3" width="4.25390625" style="0" customWidth="1"/>
    <col min="4" max="4" width="24.875" style="0" customWidth="1"/>
    <col min="5" max="5" width="16.125" style="0" customWidth="1"/>
    <col min="6" max="6" width="16.00390625" style="0" hidden="1" customWidth="1"/>
    <col min="7" max="7" width="0.12890625" style="0" customWidth="1"/>
    <col min="8" max="8" width="10.375" style="0" customWidth="1"/>
    <col min="9" max="9" width="12.00390625" style="0" customWidth="1"/>
    <col min="10" max="10" width="11.125" style="0" customWidth="1"/>
  </cols>
  <sheetData>
    <row r="1" spans="1:10" ht="78" customHeight="1">
      <c r="A1" s="222" t="s">
        <v>205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51" customHeight="1">
      <c r="A2" s="223" t="s">
        <v>206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9" ht="18.75">
      <c r="A3" s="1"/>
      <c r="B3" s="1" t="s">
        <v>85</v>
      </c>
      <c r="C3" s="2"/>
      <c r="D3" s="2" t="s">
        <v>0</v>
      </c>
      <c r="E3" s="27">
        <v>2662.1</v>
      </c>
      <c r="G3" s="92"/>
      <c r="H3" s="92"/>
      <c r="I3" s="92">
        <v>550.8</v>
      </c>
    </row>
    <row r="4" spans="2:9" ht="15.75">
      <c r="B4" s="3" t="s">
        <v>1</v>
      </c>
      <c r="C4" s="35">
        <v>5</v>
      </c>
      <c r="D4" s="2" t="s">
        <v>2</v>
      </c>
      <c r="E4" s="28">
        <v>59</v>
      </c>
      <c r="I4" t="s">
        <v>107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 t="s">
        <v>141</v>
      </c>
    </row>
    <row r="6" spans="2:9" ht="15.75">
      <c r="B6" s="3"/>
      <c r="C6" s="4"/>
      <c r="D6" s="2" t="s">
        <v>5</v>
      </c>
      <c r="E6" s="2" t="s">
        <v>16</v>
      </c>
      <c r="F6" s="2"/>
      <c r="I6" t="s">
        <v>142</v>
      </c>
    </row>
    <row r="7" spans="1:10" ht="54" customHeight="1">
      <c r="A7" s="11" t="s">
        <v>62</v>
      </c>
      <c r="B7" s="260" t="s">
        <v>143</v>
      </c>
      <c r="C7" s="261"/>
      <c r="D7" s="262"/>
      <c r="E7" s="11" t="s">
        <v>6</v>
      </c>
      <c r="F7" s="11" t="s">
        <v>7</v>
      </c>
      <c r="G7" s="94" t="s">
        <v>22</v>
      </c>
      <c r="H7" s="263" t="s">
        <v>144</v>
      </c>
      <c r="I7" s="264"/>
      <c r="J7" s="265"/>
    </row>
    <row r="8" spans="1:10" ht="15.75">
      <c r="A8" s="23">
        <v>1</v>
      </c>
      <c r="B8" s="216"/>
      <c r="C8" s="217"/>
      <c r="D8" s="217"/>
      <c r="E8" s="217"/>
      <c r="F8" s="218"/>
      <c r="G8" s="95"/>
      <c r="H8" s="96" t="s">
        <v>145</v>
      </c>
      <c r="I8" s="97" t="s">
        <v>146</v>
      </c>
      <c r="J8" s="97" t="s">
        <v>147</v>
      </c>
    </row>
    <row r="9" spans="1:10" ht="15.75">
      <c r="A9" s="23"/>
      <c r="B9" s="216" t="s">
        <v>148</v>
      </c>
      <c r="C9" s="217"/>
      <c r="D9" s="217"/>
      <c r="E9" s="217"/>
      <c r="F9" s="218"/>
      <c r="G9" s="98"/>
      <c r="H9" s="98"/>
      <c r="I9" s="72"/>
      <c r="J9" s="97"/>
    </row>
    <row r="10" spans="1:10" ht="15.75" customHeight="1">
      <c r="A10" s="99"/>
      <c r="B10" s="266" t="s">
        <v>149</v>
      </c>
      <c r="C10" s="267"/>
      <c r="D10" s="267"/>
      <c r="E10" s="267"/>
      <c r="F10" s="268"/>
      <c r="G10" s="15"/>
      <c r="H10" s="33">
        <v>317560.07</v>
      </c>
      <c r="I10" s="49"/>
      <c r="J10" s="73">
        <f>H10+I10</f>
        <v>317560.07</v>
      </c>
    </row>
    <row r="11" spans="1:10" ht="15.75" customHeight="1">
      <c r="A11" s="99"/>
      <c r="B11" s="266" t="s">
        <v>150</v>
      </c>
      <c r="C11" s="267"/>
      <c r="D11" s="267"/>
      <c r="E11" s="267"/>
      <c r="F11" s="268"/>
      <c r="G11" s="15"/>
      <c r="H11" s="123">
        <v>18524.3</v>
      </c>
      <c r="I11" s="49"/>
      <c r="J11" s="73">
        <f>H11+I11</f>
        <v>18524.3</v>
      </c>
    </row>
    <row r="12" spans="1:10" ht="15.75" customHeight="1">
      <c r="A12" s="23"/>
      <c r="B12" s="266" t="s">
        <v>151</v>
      </c>
      <c r="C12" s="267"/>
      <c r="D12" s="267"/>
      <c r="E12" s="267"/>
      <c r="F12" s="268"/>
      <c r="G12" s="15"/>
      <c r="H12" s="100"/>
      <c r="I12" s="80">
        <v>41558.32</v>
      </c>
      <c r="J12" s="73">
        <f>H12+I12</f>
        <v>41558.32</v>
      </c>
    </row>
    <row r="13" spans="1:10" ht="15.75">
      <c r="A13" s="23"/>
      <c r="B13" s="266" t="s">
        <v>152</v>
      </c>
      <c r="C13" s="267"/>
      <c r="D13" s="267"/>
      <c r="E13" s="267"/>
      <c r="F13" s="268"/>
      <c r="G13" s="15"/>
      <c r="H13" s="100"/>
      <c r="I13" s="101">
        <v>0</v>
      </c>
      <c r="J13" s="73">
        <f>H13+I13</f>
        <v>0</v>
      </c>
    </row>
    <row r="14" spans="1:10" ht="15.75">
      <c r="A14" s="23"/>
      <c r="B14" s="254" t="s">
        <v>153</v>
      </c>
      <c r="C14" s="255"/>
      <c r="D14" s="255"/>
      <c r="E14" s="255"/>
      <c r="F14" s="256"/>
      <c r="G14" s="15"/>
      <c r="H14" s="37">
        <f>SUM(H10:H12)</f>
        <v>336084.37</v>
      </c>
      <c r="I14" s="102">
        <f>SUM(I12:I13)</f>
        <v>41558.32</v>
      </c>
      <c r="J14" s="119">
        <f>SUM(J10:J13)</f>
        <v>377642.69</v>
      </c>
    </row>
    <row r="15" spans="1:10" ht="18.75" customHeight="1">
      <c r="A15" s="23">
        <v>2</v>
      </c>
      <c r="B15" s="257" t="s">
        <v>77</v>
      </c>
      <c r="C15" s="258"/>
      <c r="D15" s="258"/>
      <c r="E15" s="258"/>
      <c r="F15" s="259"/>
      <c r="G15" s="15"/>
      <c r="H15" s="100"/>
      <c r="I15" s="49"/>
      <c r="J15" s="77"/>
    </row>
    <row r="16" spans="1:10" ht="15.75">
      <c r="A16" s="23"/>
      <c r="B16" s="19" t="s">
        <v>78</v>
      </c>
      <c r="C16" s="19"/>
      <c r="D16" s="19"/>
      <c r="E16" s="19"/>
      <c r="F16" s="5"/>
      <c r="G16" s="96"/>
      <c r="H16" s="96"/>
      <c r="I16" s="93"/>
      <c r="J16" s="97"/>
    </row>
    <row r="17" spans="1:10" ht="30" customHeight="1">
      <c r="A17" s="103"/>
      <c r="B17" s="251" t="s">
        <v>207</v>
      </c>
      <c r="C17" s="252"/>
      <c r="D17" s="253"/>
      <c r="E17" s="104" t="s">
        <v>33</v>
      </c>
      <c r="F17" s="55" t="s">
        <v>25</v>
      </c>
      <c r="G17" s="56">
        <v>1.06</v>
      </c>
      <c r="H17" s="105">
        <f>ROUND(G17*$E$3*12,2)</f>
        <v>33861.91</v>
      </c>
      <c r="I17" s="124">
        <f>$I$12*0.08</f>
        <v>3324.6656000000003</v>
      </c>
      <c r="J17" s="102">
        <f>SUM(H17:I17)</f>
        <v>37186.575600000004</v>
      </c>
    </row>
    <row r="18" spans="1:10" ht="15.75" customHeight="1">
      <c r="A18" s="23"/>
      <c r="B18" s="198" t="s">
        <v>17</v>
      </c>
      <c r="C18" s="199"/>
      <c r="D18" s="200"/>
      <c r="E18" s="104" t="s">
        <v>33</v>
      </c>
      <c r="F18" s="55" t="s">
        <v>19</v>
      </c>
      <c r="G18" s="56">
        <v>0.28</v>
      </c>
      <c r="H18" s="105">
        <f>ROUND(G18*$E$3*12,2)</f>
        <v>8944.66</v>
      </c>
      <c r="I18" s="124">
        <f>$I$12*0.02</f>
        <v>831.1664000000001</v>
      </c>
      <c r="J18" s="102">
        <f>SUM(H18:I18)</f>
        <v>9775.8264</v>
      </c>
    </row>
    <row r="19" spans="1:10" ht="15.75" customHeight="1">
      <c r="A19" s="23"/>
      <c r="B19" s="248" t="s">
        <v>23</v>
      </c>
      <c r="C19" s="249"/>
      <c r="D19" s="250"/>
      <c r="E19" s="106" t="s">
        <v>154</v>
      </c>
      <c r="F19" s="57" t="s">
        <v>20</v>
      </c>
      <c r="G19" s="56">
        <v>0.39</v>
      </c>
      <c r="H19" s="105">
        <f>J19-I19</f>
        <v>47.52759999999989</v>
      </c>
      <c r="I19" s="124">
        <f>$I$12*0.07</f>
        <v>2909.0824000000002</v>
      </c>
      <c r="J19" s="125">
        <v>2956.61</v>
      </c>
    </row>
    <row r="20" spans="1:10" ht="15.75" customHeight="1">
      <c r="A20" s="103"/>
      <c r="B20" s="251" t="s">
        <v>32</v>
      </c>
      <c r="C20" s="252"/>
      <c r="D20" s="253"/>
      <c r="E20" s="107" t="s">
        <v>9</v>
      </c>
      <c r="F20" s="58" t="s">
        <v>10</v>
      </c>
      <c r="G20" s="56">
        <v>0.51</v>
      </c>
      <c r="H20" s="105">
        <f>ROUND(G20*$E$3*12,2)</f>
        <v>16292.05</v>
      </c>
      <c r="I20" s="124">
        <f>$I$12*0.04</f>
        <v>1662.3328000000001</v>
      </c>
      <c r="J20" s="102">
        <f>SUM(H20:I20)</f>
        <v>17954.3828</v>
      </c>
    </row>
    <row r="21" spans="1:10" ht="63.75" customHeight="1">
      <c r="A21" s="23"/>
      <c r="B21" s="248" t="s">
        <v>28</v>
      </c>
      <c r="C21" s="249"/>
      <c r="D21" s="250"/>
      <c r="E21" s="106" t="s">
        <v>155</v>
      </c>
      <c r="F21" s="57" t="s">
        <v>26</v>
      </c>
      <c r="G21" s="56">
        <v>0.12</v>
      </c>
      <c r="H21" s="105">
        <f>J21-I21</f>
        <v>4532.8168</v>
      </c>
      <c r="I21" s="124">
        <f>$I$12*0.01</f>
        <v>415.58320000000003</v>
      </c>
      <c r="J21" s="125">
        <v>4948.4</v>
      </c>
    </row>
    <row r="22" spans="1:10" ht="15.75" customHeight="1">
      <c r="A22" s="103"/>
      <c r="B22" s="248" t="s">
        <v>11</v>
      </c>
      <c r="C22" s="249"/>
      <c r="D22" s="250"/>
      <c r="E22" s="106" t="s">
        <v>9</v>
      </c>
      <c r="F22" s="57" t="s">
        <v>12</v>
      </c>
      <c r="G22" s="56">
        <v>0</v>
      </c>
      <c r="H22" s="105">
        <f>J22-I22</f>
        <v>0</v>
      </c>
      <c r="I22" s="124">
        <f>$I$12*0</f>
        <v>0</v>
      </c>
      <c r="J22" s="125">
        <f>G22*E3*12</f>
        <v>0</v>
      </c>
    </row>
    <row r="23" spans="1:10" ht="15.75" customHeight="1">
      <c r="A23" s="103"/>
      <c r="B23" s="248" t="s">
        <v>27</v>
      </c>
      <c r="C23" s="249"/>
      <c r="D23" s="250"/>
      <c r="E23" s="108" t="s">
        <v>13</v>
      </c>
      <c r="F23" s="53" t="s">
        <v>14</v>
      </c>
      <c r="G23" s="56">
        <v>0.05</v>
      </c>
      <c r="H23" s="105">
        <f>J23-I23</f>
        <v>1510.02504</v>
      </c>
      <c r="I23" s="124">
        <f>$I$12*0.003</f>
        <v>124.67496</v>
      </c>
      <c r="J23" s="125">
        <v>1634.7</v>
      </c>
    </row>
    <row r="24" spans="1:10" ht="26.25" customHeight="1">
      <c r="A24" s="23"/>
      <c r="B24" s="248" t="s">
        <v>156</v>
      </c>
      <c r="C24" s="249"/>
      <c r="D24" s="250"/>
      <c r="E24" s="104" t="s">
        <v>37</v>
      </c>
      <c r="F24" s="109" t="s">
        <v>80</v>
      </c>
      <c r="G24" s="56">
        <v>2.15</v>
      </c>
      <c r="H24" s="105">
        <f aca="true" t="shared" si="0" ref="H24:H29">ROUND(G24*$E$3*12,2)</f>
        <v>68682.18</v>
      </c>
      <c r="I24" s="124">
        <f>$I$12*0.19</f>
        <v>7896.0808</v>
      </c>
      <c r="J24" s="102">
        <f aca="true" t="shared" si="1" ref="J24:J29">SUM(H24:I24)</f>
        <v>76578.26079999999</v>
      </c>
    </row>
    <row r="25" spans="1:10" ht="26.25" customHeight="1">
      <c r="A25" s="23"/>
      <c r="B25" s="198" t="s">
        <v>15</v>
      </c>
      <c r="C25" s="199"/>
      <c r="D25" s="200"/>
      <c r="E25" s="104" t="s">
        <v>37</v>
      </c>
      <c r="F25" s="109" t="s">
        <v>80</v>
      </c>
      <c r="G25" s="56">
        <v>0.44</v>
      </c>
      <c r="H25" s="110">
        <f t="shared" si="0"/>
        <v>14055.89</v>
      </c>
      <c r="I25" s="124">
        <v>0</v>
      </c>
      <c r="J25" s="102">
        <f t="shared" si="1"/>
        <v>14055.89</v>
      </c>
    </row>
    <row r="26" spans="1:10" ht="26.25" customHeight="1">
      <c r="A26" s="23"/>
      <c r="B26" s="201" t="s">
        <v>38</v>
      </c>
      <c r="C26" s="202"/>
      <c r="D26" s="195"/>
      <c r="E26" s="104" t="s">
        <v>37</v>
      </c>
      <c r="F26" s="109" t="s">
        <v>80</v>
      </c>
      <c r="G26" s="111">
        <f>3.46-G27</f>
        <v>3.46</v>
      </c>
      <c r="H26" s="110">
        <f t="shared" si="0"/>
        <v>110530.39</v>
      </c>
      <c r="I26" s="126">
        <f>$I$12*0.22</f>
        <v>9142.8304</v>
      </c>
      <c r="J26" s="102">
        <f t="shared" si="1"/>
        <v>119673.2204</v>
      </c>
    </row>
    <row r="27" spans="1:10" ht="26.25" customHeight="1">
      <c r="A27" s="103"/>
      <c r="B27" s="248" t="s">
        <v>157</v>
      </c>
      <c r="C27" s="249"/>
      <c r="D27" s="250"/>
      <c r="E27" s="104" t="s">
        <v>37</v>
      </c>
      <c r="F27" s="109" t="s">
        <v>80</v>
      </c>
      <c r="G27" s="111">
        <v>0</v>
      </c>
      <c r="H27" s="110">
        <f t="shared" si="0"/>
        <v>0</v>
      </c>
      <c r="I27" s="126">
        <f>$I$12*0</f>
        <v>0</v>
      </c>
      <c r="J27" s="102">
        <f t="shared" si="1"/>
        <v>0</v>
      </c>
    </row>
    <row r="28" spans="1:10" ht="15.75" customHeight="1">
      <c r="A28" s="23"/>
      <c r="B28" s="248" t="s">
        <v>158</v>
      </c>
      <c r="C28" s="249"/>
      <c r="D28" s="250"/>
      <c r="E28" s="106" t="s">
        <v>9</v>
      </c>
      <c r="F28" s="109" t="s">
        <v>80</v>
      </c>
      <c r="G28" s="111">
        <v>0</v>
      </c>
      <c r="H28" s="110">
        <f t="shared" si="0"/>
        <v>0</v>
      </c>
      <c r="I28" s="126">
        <f>$I$12*0</f>
        <v>0</v>
      </c>
      <c r="J28" s="102">
        <f t="shared" si="1"/>
        <v>0</v>
      </c>
    </row>
    <row r="29" spans="1:10" ht="17.25" customHeight="1">
      <c r="A29" s="23"/>
      <c r="B29" s="196" t="s">
        <v>21</v>
      </c>
      <c r="C29" s="192"/>
      <c r="D29" s="193"/>
      <c r="E29" s="106" t="s">
        <v>9</v>
      </c>
      <c r="F29" s="109" t="s">
        <v>80</v>
      </c>
      <c r="G29" s="53">
        <v>1.06</v>
      </c>
      <c r="H29" s="105">
        <f t="shared" si="0"/>
        <v>33861.91</v>
      </c>
      <c r="I29" s="124">
        <f>$I$12*0.1</f>
        <v>4155.832</v>
      </c>
      <c r="J29" s="102">
        <f t="shared" si="1"/>
        <v>38017.742000000006</v>
      </c>
    </row>
    <row r="30" spans="1:10" ht="15.75" customHeight="1">
      <c r="A30" s="23"/>
      <c r="B30" s="194" t="s">
        <v>159</v>
      </c>
      <c r="C30" s="240"/>
      <c r="D30" s="241"/>
      <c r="E30" s="106" t="s">
        <v>9</v>
      </c>
      <c r="F30" s="109"/>
      <c r="G30" s="53"/>
      <c r="H30" s="110"/>
      <c r="I30" s="101"/>
      <c r="J30" s="112"/>
    </row>
    <row r="31" spans="1:10" ht="26.25" customHeight="1">
      <c r="A31" s="23"/>
      <c r="B31" s="194" t="s">
        <v>160</v>
      </c>
      <c r="C31" s="240"/>
      <c r="D31" s="241"/>
      <c r="E31" s="104" t="s">
        <v>37</v>
      </c>
      <c r="F31" s="109"/>
      <c r="G31" s="53"/>
      <c r="H31" s="110"/>
      <c r="I31" s="101"/>
      <c r="J31" s="112"/>
    </row>
    <row r="32" spans="1:10" ht="15.75" customHeight="1">
      <c r="A32" s="23"/>
      <c r="B32" s="242"/>
      <c r="C32" s="243"/>
      <c r="D32" s="244"/>
      <c r="E32" s="106"/>
      <c r="F32" s="109"/>
      <c r="G32" s="53"/>
      <c r="H32" s="110"/>
      <c r="I32" s="101"/>
      <c r="J32" s="112"/>
    </row>
    <row r="33" spans="1:10" ht="15.75" customHeight="1">
      <c r="A33" s="23"/>
      <c r="B33" s="242"/>
      <c r="C33" s="243"/>
      <c r="D33" s="244"/>
      <c r="E33" s="106"/>
      <c r="F33" s="109"/>
      <c r="G33" s="53"/>
      <c r="H33" s="110"/>
      <c r="I33" s="101"/>
      <c r="J33" s="112"/>
    </row>
    <row r="34" spans="1:10" ht="15.75" customHeight="1">
      <c r="A34" s="23"/>
      <c r="B34" s="245" t="s">
        <v>31</v>
      </c>
      <c r="C34" s="246"/>
      <c r="D34" s="247"/>
      <c r="E34" s="14"/>
      <c r="F34" s="109"/>
      <c r="G34" s="21">
        <f>SUM(G17:G29)</f>
        <v>9.520000000000001</v>
      </c>
      <c r="H34" s="113">
        <f>SUM(H17:H33)</f>
        <v>292319.35944000003</v>
      </c>
      <c r="I34" s="113">
        <f>SUM(I17:I33)</f>
        <v>30462.248560000007</v>
      </c>
      <c r="J34" s="113">
        <f>SUM(J17:J33)</f>
        <v>322781.608</v>
      </c>
    </row>
    <row r="35" spans="1:10" ht="15.75" customHeight="1">
      <c r="A35" s="23"/>
      <c r="B35" s="132"/>
      <c r="C35" s="133"/>
      <c r="D35" s="133"/>
      <c r="E35" s="134"/>
      <c r="F35" s="109"/>
      <c r="G35" s="21"/>
      <c r="H35" s="113"/>
      <c r="I35" s="113"/>
      <c r="J35" s="113"/>
    </row>
    <row r="36" spans="1:10" ht="15.75" customHeight="1">
      <c r="A36" s="23"/>
      <c r="B36" s="132"/>
      <c r="C36" s="133"/>
      <c r="D36" s="133"/>
      <c r="E36" s="134"/>
      <c r="F36" s="109"/>
      <c r="G36" s="21"/>
      <c r="H36" s="113"/>
      <c r="I36" s="113"/>
      <c r="J36" s="113"/>
    </row>
    <row r="37" spans="1:10" ht="15.75" customHeight="1">
      <c r="A37" s="23"/>
      <c r="B37" s="132"/>
      <c r="C37" s="133"/>
      <c r="D37" s="133"/>
      <c r="E37" s="134"/>
      <c r="F37" s="109"/>
      <c r="G37" s="21"/>
      <c r="H37" s="113"/>
      <c r="I37" s="113"/>
      <c r="J37" s="113"/>
    </row>
    <row r="38" spans="1:10" ht="15.75" customHeight="1">
      <c r="A38" s="23">
        <v>3</v>
      </c>
      <c r="B38" s="237" t="s">
        <v>161</v>
      </c>
      <c r="C38" s="238"/>
      <c r="D38" s="238"/>
      <c r="E38" s="239"/>
      <c r="F38" s="109" t="s">
        <v>80</v>
      </c>
      <c r="G38" s="24">
        <f>H38/E3/12</f>
        <v>1.7816135131412543</v>
      </c>
      <c r="H38" s="114">
        <v>56914</v>
      </c>
      <c r="I38" s="115">
        <v>0</v>
      </c>
      <c r="J38" s="102">
        <f>SUM(H38:I38)</f>
        <v>56914</v>
      </c>
    </row>
    <row r="39" spans="1:10" ht="15.75" customHeight="1">
      <c r="A39" s="26"/>
      <c r="B39" s="203" t="s">
        <v>79</v>
      </c>
      <c r="C39" s="204"/>
      <c r="D39" s="204"/>
      <c r="E39" s="204"/>
      <c r="F39" s="205"/>
      <c r="G39" s="21">
        <f>SUM(G34:G38)</f>
        <v>11.301613513141255</v>
      </c>
      <c r="H39" s="116">
        <f>SUM(H34:H38)</f>
        <v>349233.35944000003</v>
      </c>
      <c r="I39" s="41">
        <f>SUM(I34:I38)</f>
        <v>30462.248560000007</v>
      </c>
      <c r="J39" s="116">
        <f>SUM(J34:J38)</f>
        <v>379695.608</v>
      </c>
    </row>
    <row r="40" spans="1:10" ht="15.75" customHeight="1">
      <c r="A40" s="23">
        <v>4</v>
      </c>
      <c r="B40" s="206" t="s">
        <v>162</v>
      </c>
      <c r="C40" s="207"/>
      <c r="D40" s="207"/>
      <c r="E40" s="207"/>
      <c r="F40" s="197"/>
      <c r="G40" s="117"/>
      <c r="H40" s="118">
        <v>0</v>
      </c>
      <c r="I40" s="118">
        <v>0</v>
      </c>
      <c r="J40" s="122">
        <f>SUM(H40:I40)</f>
        <v>0</v>
      </c>
    </row>
    <row r="41" spans="1:10" ht="15.75" customHeight="1">
      <c r="A41" s="26"/>
      <c r="B41" s="203" t="s">
        <v>163</v>
      </c>
      <c r="C41" s="204"/>
      <c r="D41" s="204"/>
      <c r="E41" s="204"/>
      <c r="F41" s="205"/>
      <c r="G41" s="21">
        <f>SUM(G39:G40)</f>
        <v>11.301613513141255</v>
      </c>
      <c r="H41" s="116">
        <f>SUM(H39:H40)</f>
        <v>349233.35944000003</v>
      </c>
      <c r="I41" s="41">
        <f>SUM(I39:I40)</f>
        <v>30462.248560000007</v>
      </c>
      <c r="J41" s="116">
        <f>SUM(J39:J40)</f>
        <v>379695.608</v>
      </c>
    </row>
    <row r="42" spans="1:10" ht="15.75" customHeight="1">
      <c r="A42" s="23">
        <v>5</v>
      </c>
      <c r="B42" s="229" t="s">
        <v>208</v>
      </c>
      <c r="C42" s="230"/>
      <c r="D42" s="230"/>
      <c r="E42" s="230"/>
      <c r="F42" s="230"/>
      <c r="G42" s="231"/>
      <c r="H42" s="40">
        <f>H14-H41</f>
        <v>-13148.989440000034</v>
      </c>
      <c r="I42" s="105">
        <f>I14-I41</f>
        <v>11096.071439999992</v>
      </c>
      <c r="J42" s="119">
        <f>J14-J41</f>
        <v>-2052.918000000005</v>
      </c>
    </row>
    <row r="44" spans="2:5" ht="15.75">
      <c r="B44" s="91" t="s">
        <v>165</v>
      </c>
      <c r="C44" s="91"/>
      <c r="D44" s="91"/>
      <c r="E44" s="34"/>
    </row>
    <row r="45" spans="2:4" ht="15.75">
      <c r="B45" s="91"/>
      <c r="C45" s="91"/>
      <c r="D45" s="91"/>
    </row>
    <row r="46" spans="2:4" ht="15.75">
      <c r="B46" s="120" t="s">
        <v>209</v>
      </c>
      <c r="C46" s="120"/>
      <c r="D46" s="90"/>
    </row>
    <row r="47" spans="2:4" ht="15.75" customHeight="1">
      <c r="B47" s="208" t="s">
        <v>166</v>
      </c>
      <c r="C47" s="208"/>
      <c r="D47" s="208"/>
    </row>
  </sheetData>
  <sheetProtection/>
  <mergeCells count="36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3:D33"/>
    <mergeCell ref="B34:D34"/>
    <mergeCell ref="B38:E38"/>
    <mergeCell ref="B39:F39"/>
    <mergeCell ref="B29:D29"/>
    <mergeCell ref="B30:D30"/>
    <mergeCell ref="B31:D31"/>
    <mergeCell ref="B32:D32"/>
    <mergeCell ref="B40:F40"/>
    <mergeCell ref="B41:F41"/>
    <mergeCell ref="B42:G42"/>
    <mergeCell ref="B47:D47"/>
  </mergeCells>
  <printOptions/>
  <pageMargins left="0.1968503937007874" right="0.1968503937007874" top="0" bottom="0" header="0" footer="0"/>
  <pageSetup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33" sqref="E3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625" style="0" hidden="1" customWidth="1"/>
    <col min="8" max="8" width="13.25390625" style="0" customWidth="1"/>
  </cols>
  <sheetData>
    <row r="1" spans="1:8" ht="85.5" customHeight="1">
      <c r="A1" s="222" t="s">
        <v>199</v>
      </c>
      <c r="B1" s="222"/>
      <c r="C1" s="222"/>
      <c r="D1" s="222"/>
      <c r="E1" s="222"/>
      <c r="F1" s="222"/>
      <c r="G1" s="222"/>
      <c r="H1" s="222"/>
    </row>
    <row r="2" spans="2:6" ht="18.75">
      <c r="B2" s="1" t="s">
        <v>85</v>
      </c>
      <c r="C2" s="2"/>
      <c r="D2" s="2" t="s">
        <v>0</v>
      </c>
      <c r="E2" s="27">
        <v>2662.1</v>
      </c>
      <c r="F2" s="2"/>
    </row>
    <row r="3" spans="2:6" ht="15.75">
      <c r="B3" s="3" t="s">
        <v>1</v>
      </c>
      <c r="C3" s="35">
        <v>5</v>
      </c>
      <c r="D3" s="2" t="s">
        <v>2</v>
      </c>
      <c r="E3" s="28">
        <v>59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3">
      <c r="A6" s="44" t="s">
        <v>62</v>
      </c>
      <c r="B6" s="275"/>
      <c r="C6" s="275"/>
      <c r="D6" s="275"/>
      <c r="E6" s="45" t="s">
        <v>6</v>
      </c>
      <c r="F6" s="45" t="s">
        <v>7</v>
      </c>
      <c r="G6" s="46" t="s">
        <v>87</v>
      </c>
      <c r="H6" s="47" t="s">
        <v>88</v>
      </c>
    </row>
    <row r="7" spans="1:8" ht="15.75" customHeight="1">
      <c r="A7" s="48"/>
      <c r="B7" s="276" t="s">
        <v>89</v>
      </c>
      <c r="C7" s="276"/>
      <c r="D7" s="276"/>
      <c r="E7" s="276"/>
      <c r="F7" s="276"/>
      <c r="G7" s="49"/>
      <c r="H7" s="50"/>
    </row>
    <row r="8" spans="1:8" ht="15.75" customHeight="1">
      <c r="A8" s="48">
        <v>1</v>
      </c>
      <c r="B8" s="269" t="s">
        <v>90</v>
      </c>
      <c r="C8" s="269"/>
      <c r="D8" s="269"/>
      <c r="E8" s="269"/>
      <c r="F8" s="269"/>
      <c r="G8" s="51">
        <f>G27</f>
        <v>10.580000000000002</v>
      </c>
      <c r="H8" s="52">
        <f>ROUND(G8*$E$2*12,0)</f>
        <v>337980</v>
      </c>
    </row>
    <row r="9" spans="1:8" ht="15.75" customHeight="1">
      <c r="A9" s="48"/>
      <c r="B9" s="269" t="s">
        <v>91</v>
      </c>
      <c r="C9" s="269"/>
      <c r="D9" s="269"/>
      <c r="E9" s="269"/>
      <c r="F9" s="269"/>
      <c r="G9" s="26">
        <v>0.76</v>
      </c>
      <c r="H9" s="52">
        <f>ROUND($E$2*G9*12,0)</f>
        <v>24278</v>
      </c>
    </row>
    <row r="10" spans="1:8" ht="18.75">
      <c r="A10" s="48">
        <v>2</v>
      </c>
      <c r="B10" s="224" t="s">
        <v>77</v>
      </c>
      <c r="C10" s="224"/>
      <c r="D10" s="224"/>
      <c r="E10" s="224"/>
      <c r="F10" s="224"/>
      <c r="G10" s="53"/>
      <c r="H10" s="50"/>
    </row>
    <row r="11" spans="1:8" ht="15.75">
      <c r="A11" s="48"/>
      <c r="B11" s="19" t="s">
        <v>78</v>
      </c>
      <c r="C11" s="19"/>
      <c r="D11" s="19"/>
      <c r="E11" s="19"/>
      <c r="F11" s="5"/>
      <c r="G11" s="14"/>
      <c r="H11" s="50"/>
    </row>
    <row r="12" spans="1:8" ht="32.25" customHeight="1">
      <c r="A12" s="54"/>
      <c r="B12" s="274" t="s">
        <v>92</v>
      </c>
      <c r="C12" s="274"/>
      <c r="D12" s="274"/>
      <c r="E12" s="55" t="s">
        <v>33</v>
      </c>
      <c r="F12" s="55" t="s">
        <v>25</v>
      </c>
      <c r="G12" s="56">
        <v>1.06</v>
      </c>
      <c r="H12" s="50">
        <f>ROUND(G12*$E$2*12,0)</f>
        <v>33862</v>
      </c>
    </row>
    <row r="13" spans="1:8" ht="15.75" customHeight="1">
      <c r="A13" s="54"/>
      <c r="B13" s="274" t="s">
        <v>17</v>
      </c>
      <c r="C13" s="274"/>
      <c r="D13" s="274"/>
      <c r="E13" s="55" t="s">
        <v>33</v>
      </c>
      <c r="F13" s="55" t="s">
        <v>19</v>
      </c>
      <c r="G13" s="56">
        <v>0.28</v>
      </c>
      <c r="H13" s="50">
        <f aca="true" t="shared" si="0" ref="H13:H27">ROUND(G13*$E$2*12,0)</f>
        <v>8945</v>
      </c>
    </row>
    <row r="14" spans="1:8" ht="16.5" customHeight="1">
      <c r="A14" s="54"/>
      <c r="B14" s="269" t="s">
        <v>23</v>
      </c>
      <c r="C14" s="269"/>
      <c r="D14" s="269"/>
      <c r="E14" s="57" t="s">
        <v>8</v>
      </c>
      <c r="F14" s="57" t="s">
        <v>20</v>
      </c>
      <c r="G14" s="56">
        <v>0.39</v>
      </c>
      <c r="H14" s="50">
        <f t="shared" si="0"/>
        <v>12459</v>
      </c>
    </row>
    <row r="15" spans="1:8" ht="16.5" customHeight="1">
      <c r="A15" s="54"/>
      <c r="B15" s="277" t="s">
        <v>32</v>
      </c>
      <c r="C15" s="277"/>
      <c r="D15" s="277"/>
      <c r="E15" s="58" t="s">
        <v>9</v>
      </c>
      <c r="F15" s="58" t="s">
        <v>10</v>
      </c>
      <c r="G15" s="56">
        <v>0.51</v>
      </c>
      <c r="H15" s="50">
        <f t="shared" si="0"/>
        <v>16292</v>
      </c>
    </row>
    <row r="16" spans="1:8" ht="62.25" customHeight="1">
      <c r="A16" s="54"/>
      <c r="B16" s="269" t="s">
        <v>28</v>
      </c>
      <c r="C16" s="269"/>
      <c r="D16" s="269"/>
      <c r="E16" s="57" t="s">
        <v>35</v>
      </c>
      <c r="F16" s="57" t="s">
        <v>26</v>
      </c>
      <c r="G16" s="56">
        <v>0.12</v>
      </c>
      <c r="H16" s="50">
        <f t="shared" si="0"/>
        <v>3833</v>
      </c>
    </row>
    <row r="17" spans="1:8" ht="28.5" customHeight="1">
      <c r="A17" s="54"/>
      <c r="B17" s="269" t="s">
        <v>11</v>
      </c>
      <c r="C17" s="269"/>
      <c r="D17" s="269"/>
      <c r="E17" s="57" t="s">
        <v>9</v>
      </c>
      <c r="F17" s="57" t="s">
        <v>12</v>
      </c>
      <c r="G17" s="56">
        <v>0</v>
      </c>
      <c r="H17" s="50">
        <f t="shared" si="0"/>
        <v>0</v>
      </c>
    </row>
    <row r="18" spans="1:8" ht="15.75" customHeight="1">
      <c r="A18" s="54"/>
      <c r="B18" s="269" t="s">
        <v>27</v>
      </c>
      <c r="C18" s="272"/>
      <c r="D18" s="272"/>
      <c r="E18" s="53" t="s">
        <v>13</v>
      </c>
      <c r="F18" s="53" t="s">
        <v>14</v>
      </c>
      <c r="G18" s="56">
        <v>0.05</v>
      </c>
      <c r="H18" s="50">
        <f t="shared" si="0"/>
        <v>1597</v>
      </c>
    </row>
    <row r="19" spans="1:8" ht="28.5" customHeight="1">
      <c r="A19" s="54"/>
      <c r="B19" s="269" t="s">
        <v>36</v>
      </c>
      <c r="C19" s="269"/>
      <c r="D19" s="269"/>
      <c r="E19" s="55" t="s">
        <v>37</v>
      </c>
      <c r="F19" s="57" t="s">
        <v>80</v>
      </c>
      <c r="G19" s="56">
        <v>2.15</v>
      </c>
      <c r="H19" s="50">
        <f t="shared" si="0"/>
        <v>68682</v>
      </c>
    </row>
    <row r="20" spans="1:8" ht="63">
      <c r="A20" s="54"/>
      <c r="B20" s="274" t="s">
        <v>15</v>
      </c>
      <c r="C20" s="274"/>
      <c r="D20" s="274"/>
      <c r="E20" s="55" t="s">
        <v>93</v>
      </c>
      <c r="F20" s="57" t="s">
        <v>80</v>
      </c>
      <c r="G20" s="56">
        <v>0.44</v>
      </c>
      <c r="H20" s="50">
        <f t="shared" si="0"/>
        <v>14056</v>
      </c>
    </row>
    <row r="21" spans="1:8" ht="30" customHeight="1">
      <c r="A21" s="54"/>
      <c r="B21" s="269" t="s">
        <v>38</v>
      </c>
      <c r="C21" s="272"/>
      <c r="D21" s="272"/>
      <c r="E21" s="55" t="s">
        <v>37</v>
      </c>
      <c r="F21" s="57" t="s">
        <v>80</v>
      </c>
      <c r="G21" s="56">
        <f>3.46-G22-G23</f>
        <v>3.46</v>
      </c>
      <c r="H21" s="50">
        <f t="shared" si="0"/>
        <v>110530</v>
      </c>
    </row>
    <row r="22" spans="1:8" ht="30.75" customHeight="1">
      <c r="A22" s="54"/>
      <c r="B22" s="269" t="s">
        <v>29</v>
      </c>
      <c r="C22" s="269"/>
      <c r="D22" s="269"/>
      <c r="E22" s="55" t="s">
        <v>37</v>
      </c>
      <c r="F22" s="57" t="s">
        <v>80</v>
      </c>
      <c r="G22" s="56">
        <v>0</v>
      </c>
      <c r="H22" s="50">
        <f t="shared" si="0"/>
        <v>0</v>
      </c>
    </row>
    <row r="23" spans="1:8" ht="30" customHeight="1">
      <c r="A23" s="54"/>
      <c r="B23" s="269" t="s">
        <v>30</v>
      </c>
      <c r="C23" s="269"/>
      <c r="D23" s="269"/>
      <c r="E23" s="55" t="s">
        <v>37</v>
      </c>
      <c r="F23" s="57" t="s">
        <v>80</v>
      </c>
      <c r="G23" s="56">
        <v>0</v>
      </c>
      <c r="H23" s="50">
        <f t="shared" si="0"/>
        <v>0</v>
      </c>
    </row>
    <row r="24" spans="1:8" ht="31.5">
      <c r="A24" s="54"/>
      <c r="B24" s="272" t="s">
        <v>21</v>
      </c>
      <c r="C24" s="272"/>
      <c r="D24" s="272"/>
      <c r="E24" s="55" t="s">
        <v>37</v>
      </c>
      <c r="F24" s="57" t="s">
        <v>80</v>
      </c>
      <c r="G24" s="56">
        <v>1.06</v>
      </c>
      <c r="H24" s="50">
        <f t="shared" si="0"/>
        <v>33862</v>
      </c>
    </row>
    <row r="25" spans="1:8" ht="15.75">
      <c r="A25" s="48"/>
      <c r="B25" s="235" t="s">
        <v>31</v>
      </c>
      <c r="C25" s="235"/>
      <c r="D25" s="235"/>
      <c r="E25" s="14"/>
      <c r="F25" s="57"/>
      <c r="G25" s="21">
        <f>SUM(G12:G24)</f>
        <v>9.520000000000001</v>
      </c>
      <c r="H25" s="50">
        <f>ROUND(G25*$E$2*12,0)</f>
        <v>304118</v>
      </c>
    </row>
    <row r="26" spans="1:8" ht="21" customHeight="1">
      <c r="A26" s="48">
        <v>3</v>
      </c>
      <c r="B26" s="273" t="s">
        <v>39</v>
      </c>
      <c r="C26" s="272"/>
      <c r="D26" s="272"/>
      <c r="E26" s="14"/>
      <c r="F26" s="59" t="s">
        <v>94</v>
      </c>
      <c r="G26" s="24">
        <v>1.06</v>
      </c>
      <c r="H26" s="50">
        <f t="shared" si="0"/>
        <v>33862</v>
      </c>
    </row>
    <row r="27" spans="1:8" ht="18.75">
      <c r="A27" s="60"/>
      <c r="B27" s="270" t="s">
        <v>79</v>
      </c>
      <c r="C27" s="270"/>
      <c r="D27" s="270"/>
      <c r="E27" s="270"/>
      <c r="F27" s="270"/>
      <c r="G27" s="21">
        <f>SUM(G25:G26)</f>
        <v>10.580000000000002</v>
      </c>
      <c r="H27" s="61">
        <f t="shared" si="0"/>
        <v>337980</v>
      </c>
    </row>
    <row r="28" spans="1:8" ht="19.5" thickBot="1">
      <c r="A28" s="62">
        <v>4</v>
      </c>
      <c r="B28" s="271" t="s">
        <v>95</v>
      </c>
      <c r="C28" s="271"/>
      <c r="D28" s="271"/>
      <c r="E28" s="63"/>
      <c r="F28" s="64" t="s">
        <v>94</v>
      </c>
      <c r="G28" s="65">
        <v>0.76</v>
      </c>
      <c r="H28" s="66">
        <f>ROUND($E$2*G28*12,0)</f>
        <v>24278</v>
      </c>
    </row>
    <row r="29" spans="1:8" ht="18.75">
      <c r="A29" s="127"/>
      <c r="B29" s="128"/>
      <c r="C29" s="128"/>
      <c r="D29" s="128"/>
      <c r="E29" s="128"/>
      <c r="F29" s="121"/>
      <c r="G29" s="129"/>
      <c r="H29" s="130"/>
    </row>
    <row r="30" spans="2:6" ht="15.75">
      <c r="B30" s="34" t="s">
        <v>75</v>
      </c>
      <c r="E30" s="131" t="s">
        <v>204</v>
      </c>
      <c r="F30" s="34" t="s">
        <v>81</v>
      </c>
    </row>
    <row r="31" spans="2:6" ht="15.75">
      <c r="B31" s="34" t="s">
        <v>200</v>
      </c>
      <c r="C31" s="34"/>
      <c r="D31" s="34"/>
      <c r="E31" s="34"/>
      <c r="F31" s="34" t="s">
        <v>96</v>
      </c>
    </row>
    <row r="45" ht="15.75">
      <c r="E45" t="s">
        <v>200</v>
      </c>
    </row>
  </sheetData>
  <sheetProtection/>
  <mergeCells count="23">
    <mergeCell ref="A1:H1"/>
    <mergeCell ref="B6:D6"/>
    <mergeCell ref="B7:F7"/>
    <mergeCell ref="B20:D20"/>
    <mergeCell ref="B14:D14"/>
    <mergeCell ref="B15:D15"/>
    <mergeCell ref="B21:D21"/>
    <mergeCell ref="B8:F8"/>
    <mergeCell ref="B9:F9"/>
    <mergeCell ref="B10:F10"/>
    <mergeCell ref="B16:D16"/>
    <mergeCell ref="B17:D17"/>
    <mergeCell ref="B18:D18"/>
    <mergeCell ref="B19:D19"/>
    <mergeCell ref="B12:D12"/>
    <mergeCell ref="B13:D13"/>
    <mergeCell ref="B22:D22"/>
    <mergeCell ref="B23:D23"/>
    <mergeCell ref="B27:F27"/>
    <mergeCell ref="B28:D28"/>
    <mergeCell ref="B24:D24"/>
    <mergeCell ref="B25:D25"/>
    <mergeCell ref="B26:D26"/>
  </mergeCells>
  <printOptions/>
  <pageMargins left="0.79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E8" sqref="E8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11.75390625" style="0" customWidth="1"/>
    <col min="8" max="8" width="12.625" style="0" customWidth="1"/>
  </cols>
  <sheetData>
    <row r="1" spans="4:8" ht="69" customHeight="1">
      <c r="D1" s="283" t="s">
        <v>211</v>
      </c>
      <c r="E1" s="283"/>
      <c r="F1" s="283"/>
      <c r="G1" s="283"/>
      <c r="H1" s="283"/>
    </row>
    <row r="4" spans="1:8" ht="19.5" customHeight="1">
      <c r="A4" s="222" t="s">
        <v>212</v>
      </c>
      <c r="B4" s="222"/>
      <c r="C4" s="222"/>
      <c r="D4" s="222"/>
      <c r="E4" s="222"/>
      <c r="F4" s="222"/>
      <c r="G4" s="222"/>
      <c r="H4" s="222"/>
    </row>
    <row r="6" spans="2:5" ht="15.75">
      <c r="B6" s="280" t="s">
        <v>220</v>
      </c>
      <c r="C6" s="280"/>
      <c r="D6" s="280"/>
      <c r="E6" s="280"/>
    </row>
    <row r="7" spans="2:5" ht="15.75">
      <c r="B7" s="92"/>
      <c r="C7" s="92"/>
      <c r="D7" s="92"/>
      <c r="E7" s="92"/>
    </row>
    <row r="8" spans="2:6" ht="18.75">
      <c r="B8" s="1" t="s">
        <v>85</v>
      </c>
      <c r="C8" s="2"/>
      <c r="D8" s="2" t="s">
        <v>0</v>
      </c>
      <c r="E8" s="156">
        <v>2722.06</v>
      </c>
      <c r="F8" s="2"/>
    </row>
    <row r="9" spans="2:6" ht="15.75">
      <c r="B9" s="3" t="s">
        <v>1</v>
      </c>
      <c r="C9" s="35">
        <v>5</v>
      </c>
      <c r="D9" s="2" t="s">
        <v>2</v>
      </c>
      <c r="E9" s="28" t="s">
        <v>222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10.25">
      <c r="A12" s="44" t="s">
        <v>62</v>
      </c>
      <c r="B12" s="284" t="s">
        <v>143</v>
      </c>
      <c r="C12" s="284"/>
      <c r="D12" s="284"/>
      <c r="E12" s="45" t="s">
        <v>6</v>
      </c>
      <c r="F12" s="45" t="s">
        <v>7</v>
      </c>
      <c r="G12" s="155" t="s">
        <v>225</v>
      </c>
      <c r="H12" s="47" t="s">
        <v>226</v>
      </c>
    </row>
    <row r="13" spans="1:8" ht="25.5">
      <c r="A13" s="148">
        <v>1</v>
      </c>
      <c r="B13" s="260">
        <v>2</v>
      </c>
      <c r="C13" s="261"/>
      <c r="D13" s="281"/>
      <c r="E13" s="150">
        <v>3</v>
      </c>
      <c r="F13" s="149"/>
      <c r="G13" s="151">
        <v>4</v>
      </c>
      <c r="H13" s="152" t="s">
        <v>221</v>
      </c>
    </row>
    <row r="14" spans="1:8" ht="15.75" customHeight="1" hidden="1">
      <c r="A14" s="48"/>
      <c r="B14" s="276" t="s">
        <v>89</v>
      </c>
      <c r="C14" s="276"/>
      <c r="D14" s="276"/>
      <c r="E14" s="276"/>
      <c r="F14" s="276"/>
      <c r="G14" s="49"/>
      <c r="H14" s="50"/>
    </row>
    <row r="15" spans="1:8" ht="15.75" customHeight="1" hidden="1">
      <c r="A15" s="48">
        <v>1</v>
      </c>
      <c r="B15" s="269" t="s">
        <v>90</v>
      </c>
      <c r="C15" s="269"/>
      <c r="D15" s="269"/>
      <c r="E15" s="269"/>
      <c r="F15" s="269"/>
      <c r="G15" s="24">
        <f>G34</f>
        <v>11.21</v>
      </c>
      <c r="H15" s="50">
        <f>ROUND(G15*$E$8*12,0)</f>
        <v>366172</v>
      </c>
    </row>
    <row r="16" spans="1:8" ht="15.75" customHeight="1" hidden="1">
      <c r="A16" s="48"/>
      <c r="B16" s="269" t="s">
        <v>91</v>
      </c>
      <c r="C16" s="269"/>
      <c r="D16" s="269"/>
      <c r="E16" s="269"/>
      <c r="F16" s="269"/>
      <c r="G16" s="23">
        <v>0.78</v>
      </c>
      <c r="H16" s="50">
        <f>ROUND($E$8*G16*12,0)</f>
        <v>25478</v>
      </c>
    </row>
    <row r="17" spans="1:8" ht="18.75">
      <c r="A17" s="48">
        <v>1</v>
      </c>
      <c r="B17" s="224" t="s">
        <v>77</v>
      </c>
      <c r="C17" s="224"/>
      <c r="D17" s="224"/>
      <c r="E17" s="224"/>
      <c r="F17" s="224"/>
      <c r="G17" s="53"/>
      <c r="H17" s="50"/>
    </row>
    <row r="18" spans="1:8" ht="15.75">
      <c r="A18" s="48">
        <v>1.1</v>
      </c>
      <c r="B18" s="19" t="s">
        <v>78</v>
      </c>
      <c r="C18" s="19"/>
      <c r="D18" s="19"/>
      <c r="E18" s="19"/>
      <c r="F18" s="5"/>
      <c r="G18" s="14"/>
      <c r="H18" s="50"/>
    </row>
    <row r="19" spans="1:8" ht="32.25" customHeight="1">
      <c r="A19" s="54"/>
      <c r="B19" s="274" t="s">
        <v>92</v>
      </c>
      <c r="C19" s="274"/>
      <c r="D19" s="274"/>
      <c r="E19" s="104" t="s">
        <v>33</v>
      </c>
      <c r="F19" s="55" t="s">
        <v>25</v>
      </c>
      <c r="G19" s="56">
        <v>1.12</v>
      </c>
      <c r="H19" s="50">
        <f>ROUND(G19*$E$8*5,0)</f>
        <v>15244</v>
      </c>
    </row>
    <row r="20" spans="1:8" ht="15.75" customHeight="1">
      <c r="A20" s="54"/>
      <c r="B20" s="274" t="s">
        <v>17</v>
      </c>
      <c r="C20" s="274"/>
      <c r="D20" s="274"/>
      <c r="E20" s="104" t="s">
        <v>33</v>
      </c>
      <c r="F20" s="55" t="s">
        <v>19</v>
      </c>
      <c r="G20" s="56">
        <v>0.3</v>
      </c>
      <c r="H20" s="50">
        <f aca="true" t="shared" si="0" ref="H20:H35">ROUND(G20*$E$8*5,0)</f>
        <v>4083</v>
      </c>
    </row>
    <row r="21" spans="1:8" ht="16.5" customHeight="1">
      <c r="A21" s="54"/>
      <c r="B21" s="269" t="s">
        <v>23</v>
      </c>
      <c r="C21" s="269"/>
      <c r="D21" s="269"/>
      <c r="E21" s="106" t="s">
        <v>8</v>
      </c>
      <c r="F21" s="57" t="s">
        <v>20</v>
      </c>
      <c r="G21" s="56">
        <v>0.41</v>
      </c>
      <c r="H21" s="50">
        <f t="shared" si="0"/>
        <v>5580</v>
      </c>
    </row>
    <row r="22" spans="1:8" ht="16.5" customHeight="1">
      <c r="A22" s="54"/>
      <c r="B22" s="277" t="s">
        <v>32</v>
      </c>
      <c r="C22" s="277"/>
      <c r="D22" s="277"/>
      <c r="E22" s="107" t="s">
        <v>9</v>
      </c>
      <c r="F22" s="58" t="s">
        <v>10</v>
      </c>
      <c r="G22" s="56">
        <v>0.54</v>
      </c>
      <c r="H22" s="50">
        <f t="shared" si="0"/>
        <v>7350</v>
      </c>
    </row>
    <row r="23" spans="1:8" ht="51">
      <c r="A23" s="54"/>
      <c r="B23" s="269" t="s">
        <v>28</v>
      </c>
      <c r="C23" s="269"/>
      <c r="D23" s="269"/>
      <c r="E23" s="106" t="s">
        <v>35</v>
      </c>
      <c r="F23" s="57" t="s">
        <v>26</v>
      </c>
      <c r="G23" s="56">
        <v>0.13</v>
      </c>
      <c r="H23" s="50">
        <f t="shared" si="0"/>
        <v>1769</v>
      </c>
    </row>
    <row r="24" spans="1:8" ht="32.25" customHeight="1">
      <c r="A24" s="54"/>
      <c r="B24" s="269" t="s">
        <v>11</v>
      </c>
      <c r="C24" s="269"/>
      <c r="D24" s="269"/>
      <c r="E24" s="106" t="s">
        <v>9</v>
      </c>
      <c r="F24" s="57" t="s">
        <v>12</v>
      </c>
      <c r="G24" s="157">
        <v>0</v>
      </c>
      <c r="H24" s="50">
        <f t="shared" si="0"/>
        <v>0</v>
      </c>
    </row>
    <row r="25" spans="1:8" ht="15.75" customHeight="1">
      <c r="A25" s="54"/>
      <c r="B25" s="269" t="s">
        <v>27</v>
      </c>
      <c r="C25" s="272"/>
      <c r="D25" s="272"/>
      <c r="E25" s="108" t="s">
        <v>13</v>
      </c>
      <c r="F25" s="53" t="s">
        <v>14</v>
      </c>
      <c r="G25" s="56">
        <v>0.05</v>
      </c>
      <c r="H25" s="50">
        <f t="shared" si="0"/>
        <v>681</v>
      </c>
    </row>
    <row r="26" spans="1:8" ht="51">
      <c r="A26" s="54"/>
      <c r="B26" s="269" t="s">
        <v>36</v>
      </c>
      <c r="C26" s="269"/>
      <c r="D26" s="269"/>
      <c r="E26" s="106" t="s">
        <v>213</v>
      </c>
      <c r="F26" s="57" t="s">
        <v>80</v>
      </c>
      <c r="G26" s="56">
        <v>1.63</v>
      </c>
      <c r="H26" s="50">
        <f t="shared" si="0"/>
        <v>22185</v>
      </c>
    </row>
    <row r="27" spans="1:8" ht="51">
      <c r="A27" s="54"/>
      <c r="B27" s="274" t="s">
        <v>15</v>
      </c>
      <c r="C27" s="274"/>
      <c r="D27" s="274"/>
      <c r="E27" s="153" t="s">
        <v>93</v>
      </c>
      <c r="F27" s="57" t="s">
        <v>80</v>
      </c>
      <c r="G27" s="56">
        <v>0.47</v>
      </c>
      <c r="H27" s="50">
        <f t="shared" si="0"/>
        <v>6397</v>
      </c>
    </row>
    <row r="28" spans="1:8" ht="30" customHeight="1">
      <c r="A28" s="54"/>
      <c r="B28" s="269" t="s">
        <v>38</v>
      </c>
      <c r="C28" s="272"/>
      <c r="D28" s="272"/>
      <c r="E28" s="104" t="s">
        <v>37</v>
      </c>
      <c r="F28" s="57" t="s">
        <v>80</v>
      </c>
      <c r="G28" s="56">
        <f>4.32-G29-G30</f>
        <v>4.32</v>
      </c>
      <c r="H28" s="50">
        <f t="shared" si="0"/>
        <v>58796</v>
      </c>
    </row>
    <row r="29" spans="1:8" ht="15.75">
      <c r="A29" s="54"/>
      <c r="B29" s="269" t="s">
        <v>29</v>
      </c>
      <c r="C29" s="269"/>
      <c r="D29" s="269"/>
      <c r="E29" s="106" t="s">
        <v>9</v>
      </c>
      <c r="F29" s="57" t="s">
        <v>80</v>
      </c>
      <c r="G29" s="157">
        <v>0</v>
      </c>
      <c r="H29" s="50">
        <f t="shared" si="0"/>
        <v>0</v>
      </c>
    </row>
    <row r="30" spans="1:8" ht="15.75">
      <c r="A30" s="54"/>
      <c r="B30" s="269" t="s">
        <v>30</v>
      </c>
      <c r="C30" s="269"/>
      <c r="D30" s="269"/>
      <c r="E30" s="106" t="s">
        <v>9</v>
      </c>
      <c r="F30" s="57" t="s">
        <v>80</v>
      </c>
      <c r="G30" s="157">
        <v>0</v>
      </c>
      <c r="H30" s="50">
        <f t="shared" si="0"/>
        <v>0</v>
      </c>
    </row>
    <row r="31" spans="1:8" ht="25.5">
      <c r="A31" s="54"/>
      <c r="B31" s="272" t="s">
        <v>21</v>
      </c>
      <c r="C31" s="272"/>
      <c r="D31" s="272"/>
      <c r="E31" s="104" t="s">
        <v>37</v>
      </c>
      <c r="F31" s="57" t="s">
        <v>80</v>
      </c>
      <c r="G31" s="56">
        <v>1.12</v>
      </c>
      <c r="H31" s="50">
        <f t="shared" si="0"/>
        <v>15244</v>
      </c>
    </row>
    <row r="32" spans="1:8" ht="15.75">
      <c r="A32" s="48"/>
      <c r="B32" s="235" t="s">
        <v>31</v>
      </c>
      <c r="C32" s="235"/>
      <c r="D32" s="235"/>
      <c r="E32" s="14"/>
      <c r="F32" s="57"/>
      <c r="G32" s="21">
        <f>SUM(G19:G31)</f>
        <v>10.09</v>
      </c>
      <c r="H32" s="50">
        <f t="shared" si="0"/>
        <v>137328</v>
      </c>
    </row>
    <row r="33" spans="1:8" ht="15.75" customHeight="1">
      <c r="A33" s="48" t="s">
        <v>223</v>
      </c>
      <c r="B33" s="273" t="s">
        <v>39</v>
      </c>
      <c r="C33" s="272"/>
      <c r="D33" s="272"/>
      <c r="E33" s="106" t="s">
        <v>214</v>
      </c>
      <c r="F33" s="59" t="s">
        <v>94</v>
      </c>
      <c r="G33" s="24">
        <v>1.12</v>
      </c>
      <c r="H33" s="50">
        <f t="shared" si="0"/>
        <v>15244</v>
      </c>
    </row>
    <row r="34" spans="1:8" ht="15.75">
      <c r="A34" s="48" t="s">
        <v>224</v>
      </c>
      <c r="B34" s="279" t="s">
        <v>79</v>
      </c>
      <c r="C34" s="279"/>
      <c r="D34" s="279"/>
      <c r="E34" s="279"/>
      <c r="F34" s="279"/>
      <c r="G34" s="24">
        <f>SUM(G32:G33)</f>
        <v>11.21</v>
      </c>
      <c r="H34" s="50">
        <f t="shared" si="0"/>
        <v>152571</v>
      </c>
    </row>
    <row r="35" spans="1:8" ht="16.5" thickBot="1">
      <c r="A35" s="145" t="s">
        <v>105</v>
      </c>
      <c r="B35" s="278" t="s">
        <v>95</v>
      </c>
      <c r="C35" s="278"/>
      <c r="D35" s="278"/>
      <c r="E35" s="106" t="s">
        <v>214</v>
      </c>
      <c r="F35" s="64" t="s">
        <v>94</v>
      </c>
      <c r="G35" s="154">
        <v>0.8</v>
      </c>
      <c r="H35" s="158">
        <f t="shared" si="0"/>
        <v>10888</v>
      </c>
    </row>
    <row r="36" spans="1:6" ht="15.75">
      <c r="A36" s="146"/>
      <c r="B36" s="282" t="s">
        <v>215</v>
      </c>
      <c r="C36" s="282"/>
      <c r="D36" s="282"/>
      <c r="E36" s="282"/>
      <c r="F36" s="147"/>
    </row>
    <row r="38" spans="2:8" ht="15.75">
      <c r="B38" s="34" t="s">
        <v>216</v>
      </c>
      <c r="C38" s="34"/>
      <c r="D38" s="34"/>
      <c r="E38" s="34" t="s">
        <v>217</v>
      </c>
      <c r="F38" s="34"/>
      <c r="G38" s="34"/>
      <c r="H38" s="34"/>
    </row>
    <row r="40" spans="2:8" ht="15.75">
      <c r="B40" s="34" t="s">
        <v>218</v>
      </c>
      <c r="C40" s="34"/>
      <c r="D40" s="34"/>
      <c r="E40" t="s">
        <v>219</v>
      </c>
      <c r="H40" t="s">
        <v>200</v>
      </c>
    </row>
  </sheetData>
  <sheetProtection/>
  <mergeCells count="27">
    <mergeCell ref="B36:E36"/>
    <mergeCell ref="D1:H1"/>
    <mergeCell ref="A4:H4"/>
    <mergeCell ref="B12:D12"/>
    <mergeCell ref="B14:F14"/>
    <mergeCell ref="B15:F15"/>
    <mergeCell ref="B16:F16"/>
    <mergeCell ref="B17:F17"/>
    <mergeCell ref="B23:D23"/>
    <mergeCell ref="B24:D24"/>
    <mergeCell ref="B6:E6"/>
    <mergeCell ref="B13:D13"/>
    <mergeCell ref="B19:D19"/>
    <mergeCell ref="B20:D20"/>
    <mergeCell ref="B21:D21"/>
    <mergeCell ref="B22:D22"/>
    <mergeCell ref="B25:D25"/>
    <mergeCell ref="B26:D26"/>
    <mergeCell ref="B27:D27"/>
    <mergeCell ref="B28:D28"/>
    <mergeCell ref="B35:D35"/>
    <mergeCell ref="B29:D29"/>
    <mergeCell ref="B30:D30"/>
    <mergeCell ref="B31:D31"/>
    <mergeCell ref="B32:D32"/>
    <mergeCell ref="B33:D33"/>
    <mergeCell ref="B34:F34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G3" sqref="G1:J16384"/>
    </sheetView>
  </sheetViews>
  <sheetFormatPr defaultColWidth="9.00390625" defaultRowHeight="15.75"/>
  <cols>
    <col min="1" max="1" width="6.875" style="0" customWidth="1"/>
    <col min="2" max="2" width="28.50390625" style="0" customWidth="1"/>
    <col min="3" max="3" width="6.875" style="0" customWidth="1"/>
    <col min="4" max="4" width="19.75390625" style="0" customWidth="1"/>
    <col min="5" max="5" width="26.75390625" style="0" customWidth="1"/>
    <col min="6" max="6" width="18.00390625" style="0" hidden="1" customWidth="1"/>
    <col min="7" max="7" width="8.75390625" style="0" hidden="1" customWidth="1"/>
    <col min="8" max="8" width="9.875" style="0" hidden="1" customWidth="1"/>
    <col min="9" max="9" width="10.625" style="0" hidden="1" customWidth="1"/>
    <col min="10" max="10" width="11.625" style="0" hidden="1" customWidth="1"/>
    <col min="11" max="11" width="21.75390625" style="0" customWidth="1"/>
    <col min="12" max="12" width="1.875" style="0" hidden="1" customWidth="1"/>
    <col min="13" max="13" width="10.75390625" style="0" hidden="1" customWidth="1"/>
  </cols>
  <sheetData>
    <row r="1" spans="1:11" ht="129" customHeight="1">
      <c r="A1" s="209" t="s">
        <v>244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61.5" customHeight="1">
      <c r="A2" s="305" t="s">
        <v>227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2:10" ht="31.5">
      <c r="B3" s="1" t="s">
        <v>85</v>
      </c>
      <c r="C3" s="2"/>
      <c r="D3" s="159" t="s">
        <v>228</v>
      </c>
      <c r="E3" s="156">
        <v>2722.06</v>
      </c>
      <c r="F3" s="2"/>
      <c r="I3" s="92"/>
      <c r="J3" s="92"/>
    </row>
    <row r="4" spans="2:6" ht="15.75">
      <c r="B4" s="3" t="s">
        <v>1</v>
      </c>
      <c r="C4" s="35">
        <v>5</v>
      </c>
      <c r="D4" s="2" t="s">
        <v>2</v>
      </c>
      <c r="E4" s="28">
        <v>59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48" customHeight="1">
      <c r="A7" s="22" t="s">
        <v>62</v>
      </c>
      <c r="B7" s="260" t="s">
        <v>143</v>
      </c>
      <c r="C7" s="261"/>
      <c r="D7" s="262"/>
      <c r="E7" s="11" t="s">
        <v>6</v>
      </c>
      <c r="F7" s="11" t="s">
        <v>7</v>
      </c>
      <c r="G7" s="94" t="s">
        <v>229</v>
      </c>
      <c r="H7" s="160" t="s">
        <v>230</v>
      </c>
      <c r="I7" s="263" t="s">
        <v>231</v>
      </c>
      <c r="J7" s="264"/>
      <c r="K7" s="265"/>
      <c r="L7" s="71">
        <v>7</v>
      </c>
      <c r="M7" s="161" t="s">
        <v>232</v>
      </c>
    </row>
    <row r="8" spans="1:11" ht="15.75">
      <c r="A8" s="23">
        <v>1</v>
      </c>
      <c r="B8" s="216"/>
      <c r="C8" s="217"/>
      <c r="D8" s="217"/>
      <c r="E8" s="217"/>
      <c r="F8" s="218"/>
      <c r="G8" s="162"/>
      <c r="H8" s="162"/>
      <c r="I8" s="163" t="s">
        <v>145</v>
      </c>
      <c r="J8" s="97" t="s">
        <v>146</v>
      </c>
      <c r="K8" s="97" t="s">
        <v>147</v>
      </c>
    </row>
    <row r="9" spans="1:11" ht="15.75">
      <c r="A9" s="23"/>
      <c r="B9" s="216" t="s">
        <v>148</v>
      </c>
      <c r="C9" s="217"/>
      <c r="D9" s="217"/>
      <c r="E9" s="217"/>
      <c r="F9" s="218"/>
      <c r="G9" s="72"/>
      <c r="H9" s="72"/>
      <c r="I9" s="72"/>
      <c r="J9" s="72"/>
      <c r="K9" s="97"/>
    </row>
    <row r="10" spans="1:11" ht="15.75" customHeight="1">
      <c r="A10" s="99"/>
      <c r="B10" s="220" t="s">
        <v>149</v>
      </c>
      <c r="C10" s="220"/>
      <c r="D10" s="220"/>
      <c r="E10" s="220"/>
      <c r="F10" s="220"/>
      <c r="G10" s="17"/>
      <c r="H10" s="17"/>
      <c r="I10" s="164">
        <v>181133.33</v>
      </c>
      <c r="J10" s="49"/>
      <c r="K10" s="42">
        <f>I10+J10</f>
        <v>181133.33</v>
      </c>
    </row>
    <row r="11" spans="1:11" ht="15.75" customHeight="1">
      <c r="A11" s="99"/>
      <c r="B11" s="220" t="s">
        <v>150</v>
      </c>
      <c r="C11" s="220"/>
      <c r="D11" s="220"/>
      <c r="E11" s="220"/>
      <c r="F11" s="220"/>
      <c r="G11" s="17"/>
      <c r="H11" s="17"/>
      <c r="I11" s="18">
        <v>10036.71</v>
      </c>
      <c r="J11" s="49"/>
      <c r="K11" s="42">
        <f>I11+J11</f>
        <v>10036.71</v>
      </c>
    </row>
    <row r="12" spans="1:11" ht="15.75" customHeight="1">
      <c r="A12" s="23"/>
      <c r="B12" s="220" t="s">
        <v>151</v>
      </c>
      <c r="C12" s="220"/>
      <c r="D12" s="220"/>
      <c r="E12" s="220"/>
      <c r="F12" s="220"/>
      <c r="G12" s="17"/>
      <c r="H12" s="17"/>
      <c r="I12" s="164"/>
      <c r="J12" s="49">
        <v>25061.4</v>
      </c>
      <c r="K12" s="42">
        <f>I12+J12</f>
        <v>25061.4</v>
      </c>
    </row>
    <row r="13" spans="1:11" ht="15.75">
      <c r="A13" s="23"/>
      <c r="B13" s="220" t="s">
        <v>233</v>
      </c>
      <c r="C13" s="220"/>
      <c r="D13" s="220"/>
      <c r="E13" s="220"/>
      <c r="F13" s="220"/>
      <c r="G13" s="17"/>
      <c r="H13" s="17"/>
      <c r="I13" s="164">
        <v>0</v>
      </c>
      <c r="J13" s="101">
        <v>0</v>
      </c>
      <c r="K13" s="42">
        <f>I13+J13</f>
        <v>0</v>
      </c>
    </row>
    <row r="14" spans="1:11" ht="15.75">
      <c r="A14" s="23"/>
      <c r="B14" s="219" t="s">
        <v>153</v>
      </c>
      <c r="C14" s="219"/>
      <c r="D14" s="219"/>
      <c r="E14" s="219"/>
      <c r="F14" s="219"/>
      <c r="G14" s="17"/>
      <c r="H14" s="17"/>
      <c r="I14" s="37">
        <f>SUM(I10:I12)</f>
        <v>191170.03999999998</v>
      </c>
      <c r="J14" s="102">
        <f>SUM(J10:J12)</f>
        <v>25061.4</v>
      </c>
      <c r="K14" s="37">
        <f>SUM(K10:K13)</f>
        <v>216231.43999999997</v>
      </c>
    </row>
    <row r="15" spans="1:11" ht="18.75" customHeight="1">
      <c r="A15" s="23">
        <v>2</v>
      </c>
      <c r="B15" s="304" t="s">
        <v>77</v>
      </c>
      <c r="C15" s="304"/>
      <c r="D15" s="304"/>
      <c r="E15" s="304"/>
      <c r="F15" s="304"/>
      <c r="G15" s="17"/>
      <c r="H15" s="17"/>
      <c r="I15" s="164"/>
      <c r="J15" s="49"/>
      <c r="K15" s="77"/>
    </row>
    <row r="16" spans="1:11" ht="15.75">
      <c r="A16" s="23" t="s">
        <v>234</v>
      </c>
      <c r="B16" s="165" t="s">
        <v>78</v>
      </c>
      <c r="C16" s="165"/>
      <c r="D16" s="165"/>
      <c r="E16" s="165"/>
      <c r="F16" s="117"/>
      <c r="G16" s="163"/>
      <c r="H16" s="163"/>
      <c r="I16" s="163"/>
      <c r="J16" s="93"/>
      <c r="K16" s="97"/>
    </row>
    <row r="17" spans="1:11" ht="30" customHeight="1">
      <c r="A17" s="103"/>
      <c r="B17" s="302" t="s">
        <v>235</v>
      </c>
      <c r="C17" s="302"/>
      <c r="D17" s="302"/>
      <c r="E17" s="166" t="s">
        <v>33</v>
      </c>
      <c r="F17" s="6" t="s">
        <v>25</v>
      </c>
      <c r="G17" s="12">
        <v>1.06</v>
      </c>
      <c r="H17" s="12">
        <v>1.12</v>
      </c>
      <c r="I17" s="38">
        <f>ROUND($E$3*G17*6,2)+ROUND($E$3*H17*($L$7-6),2)</f>
        <v>20361.01</v>
      </c>
      <c r="J17" s="167"/>
      <c r="K17" s="168">
        <f>SUM(I17:J17)</f>
        <v>20361.01</v>
      </c>
    </row>
    <row r="18" spans="1:11" ht="17.25" customHeight="1">
      <c r="A18" s="23"/>
      <c r="B18" s="303" t="s">
        <v>17</v>
      </c>
      <c r="C18" s="303"/>
      <c r="D18" s="303"/>
      <c r="E18" s="166" t="s">
        <v>33</v>
      </c>
      <c r="F18" s="6" t="s">
        <v>19</v>
      </c>
      <c r="G18" s="12">
        <v>0.28</v>
      </c>
      <c r="H18" s="12">
        <v>0.3</v>
      </c>
      <c r="I18" s="38">
        <f>ROUND($E$3*G18*6,2)+ROUND($E$3*H18*($L$7-6),2)</f>
        <v>5389.68</v>
      </c>
      <c r="J18" s="167"/>
      <c r="K18" s="168">
        <f>SUM(I18:J18)</f>
        <v>5389.68</v>
      </c>
    </row>
    <row r="19" spans="1:11" ht="26.25" customHeight="1">
      <c r="A19" s="23"/>
      <c r="B19" s="301" t="s">
        <v>23</v>
      </c>
      <c r="C19" s="301"/>
      <c r="D19" s="301"/>
      <c r="E19" s="169" t="s">
        <v>154</v>
      </c>
      <c r="F19" s="7" t="s">
        <v>20</v>
      </c>
      <c r="G19" s="12">
        <v>0.39</v>
      </c>
      <c r="H19" s="12">
        <v>0.41</v>
      </c>
      <c r="I19" s="38">
        <v>2585.49</v>
      </c>
      <c r="J19" s="167"/>
      <c r="K19" s="170">
        <f>I19+J19</f>
        <v>2585.49</v>
      </c>
    </row>
    <row r="20" spans="1:11" ht="26.25" customHeight="1">
      <c r="A20" s="103"/>
      <c r="B20" s="302" t="s">
        <v>32</v>
      </c>
      <c r="C20" s="302"/>
      <c r="D20" s="302"/>
      <c r="E20" s="171" t="s">
        <v>9</v>
      </c>
      <c r="F20" s="8" t="s">
        <v>10</v>
      </c>
      <c r="G20" s="12">
        <v>0.51</v>
      </c>
      <c r="H20" s="12">
        <v>0.54</v>
      </c>
      <c r="I20" s="38">
        <f>ROUND($E$3*G20*6,2)+ROUND($E$3*H20*($L$7-6),2)</f>
        <v>9799.41</v>
      </c>
      <c r="J20" s="167"/>
      <c r="K20" s="168">
        <f>SUM(I20:J20)</f>
        <v>9799.41</v>
      </c>
    </row>
    <row r="21" spans="1:11" ht="54" customHeight="1">
      <c r="A21" s="23"/>
      <c r="B21" s="301" t="s">
        <v>28</v>
      </c>
      <c r="C21" s="301"/>
      <c r="D21" s="301"/>
      <c r="E21" s="169" t="s">
        <v>155</v>
      </c>
      <c r="F21" s="7" t="s">
        <v>26</v>
      </c>
      <c r="G21" s="12">
        <v>0.12</v>
      </c>
      <c r="H21" s="12">
        <v>0.13</v>
      </c>
      <c r="I21" s="38">
        <v>2173</v>
      </c>
      <c r="J21" s="167"/>
      <c r="K21" s="170">
        <f>I21+J21</f>
        <v>2173</v>
      </c>
    </row>
    <row r="22" spans="1:11" ht="31.5" customHeight="1">
      <c r="A22" s="103"/>
      <c r="B22" s="301" t="s">
        <v>11</v>
      </c>
      <c r="C22" s="301"/>
      <c r="D22" s="301"/>
      <c r="E22" s="169" t="s">
        <v>9</v>
      </c>
      <c r="F22" s="7" t="s">
        <v>12</v>
      </c>
      <c r="G22" s="12">
        <v>0</v>
      </c>
      <c r="H22" s="172">
        <v>0</v>
      </c>
      <c r="I22" s="38">
        <f>ROUND($E$3*G22*6,2)+ROUND($E$3*H22*($L$7-6),2)</f>
        <v>0</v>
      </c>
      <c r="J22" s="167"/>
      <c r="K22" s="168">
        <f>SUM(I22:J22)</f>
        <v>0</v>
      </c>
    </row>
    <row r="23" spans="1:11" ht="17.25" customHeight="1">
      <c r="A23" s="103"/>
      <c r="B23" s="301" t="s">
        <v>27</v>
      </c>
      <c r="C23" s="293"/>
      <c r="D23" s="293"/>
      <c r="E23" s="173" t="s">
        <v>13</v>
      </c>
      <c r="F23" s="9" t="s">
        <v>14</v>
      </c>
      <c r="G23" s="12">
        <v>0.05</v>
      </c>
      <c r="H23" s="12">
        <v>0.05</v>
      </c>
      <c r="I23" s="38">
        <v>0</v>
      </c>
      <c r="J23" s="167"/>
      <c r="K23" s="170">
        <f>I23+J23</f>
        <v>0</v>
      </c>
    </row>
    <row r="24" spans="1:11" ht="63.75" customHeight="1">
      <c r="A24" s="23"/>
      <c r="B24" s="301" t="s">
        <v>156</v>
      </c>
      <c r="C24" s="301"/>
      <c r="D24" s="301"/>
      <c r="E24" s="104" t="s">
        <v>213</v>
      </c>
      <c r="F24" s="109" t="s">
        <v>236</v>
      </c>
      <c r="G24" s="12">
        <v>2.15</v>
      </c>
      <c r="H24" s="12">
        <v>2.28</v>
      </c>
      <c r="I24" s="38">
        <f aca="true" t="shared" si="0" ref="I24:I29">ROUND($E$3*G24*6,2)+ROUND($E$3*H24*($L$7-6),2)</f>
        <v>41320.87</v>
      </c>
      <c r="J24" s="167"/>
      <c r="K24" s="168">
        <f aca="true" t="shared" si="1" ref="K24:K29">SUM(I24:J24)</f>
        <v>41320.87</v>
      </c>
    </row>
    <row r="25" spans="1:11" ht="52.5" customHeight="1">
      <c r="A25" s="23"/>
      <c r="B25" s="303" t="s">
        <v>15</v>
      </c>
      <c r="C25" s="303"/>
      <c r="D25" s="303"/>
      <c r="E25" s="104" t="s">
        <v>93</v>
      </c>
      <c r="F25" s="109" t="s">
        <v>236</v>
      </c>
      <c r="G25" s="12">
        <v>0.44</v>
      </c>
      <c r="H25" s="174">
        <v>0.47</v>
      </c>
      <c r="I25" s="38">
        <v>8279.11</v>
      </c>
      <c r="J25" s="167"/>
      <c r="K25" s="168">
        <f>I25+J25</f>
        <v>8279.11</v>
      </c>
    </row>
    <row r="26" spans="1:11" ht="31.5" customHeight="1">
      <c r="A26" s="23"/>
      <c r="B26" s="289" t="s">
        <v>237</v>
      </c>
      <c r="C26" s="299"/>
      <c r="D26" s="300"/>
      <c r="E26" s="166" t="s">
        <v>37</v>
      </c>
      <c r="F26" s="109" t="s">
        <v>236</v>
      </c>
      <c r="G26" s="13">
        <f>3.46-G27</f>
        <v>3.46</v>
      </c>
      <c r="H26" s="175">
        <f>3.67-H27-H28</f>
        <v>3.67</v>
      </c>
      <c r="I26" s="38">
        <f t="shared" si="0"/>
        <v>66499.93</v>
      </c>
      <c r="J26" s="176"/>
      <c r="K26" s="168">
        <f t="shared" si="1"/>
        <v>66499.93</v>
      </c>
    </row>
    <row r="27" spans="1:11" ht="26.25" customHeight="1">
      <c r="A27" s="103"/>
      <c r="B27" s="301" t="s">
        <v>157</v>
      </c>
      <c r="C27" s="301"/>
      <c r="D27" s="301"/>
      <c r="E27" s="169" t="s">
        <v>9</v>
      </c>
      <c r="F27" s="109" t="s">
        <v>236</v>
      </c>
      <c r="G27" s="13">
        <v>0</v>
      </c>
      <c r="H27" s="172">
        <v>0</v>
      </c>
      <c r="I27" s="177">
        <f t="shared" si="0"/>
        <v>0</v>
      </c>
      <c r="J27" s="176"/>
      <c r="K27" s="168">
        <f t="shared" si="1"/>
        <v>0</v>
      </c>
    </row>
    <row r="28" spans="1:11" ht="17.25" customHeight="1">
      <c r="A28" s="23"/>
      <c r="B28" s="301" t="s">
        <v>158</v>
      </c>
      <c r="C28" s="301"/>
      <c r="D28" s="301"/>
      <c r="E28" s="169" t="s">
        <v>9</v>
      </c>
      <c r="F28" s="109" t="s">
        <v>236</v>
      </c>
      <c r="G28" s="13">
        <v>0</v>
      </c>
      <c r="H28" s="172">
        <v>0</v>
      </c>
      <c r="I28" s="177">
        <f t="shared" si="0"/>
        <v>0</v>
      </c>
      <c r="J28" s="176"/>
      <c r="K28" s="168">
        <f t="shared" si="1"/>
        <v>0</v>
      </c>
    </row>
    <row r="29" spans="1:11" ht="28.5" customHeight="1">
      <c r="A29" s="23"/>
      <c r="B29" s="293" t="s">
        <v>21</v>
      </c>
      <c r="C29" s="293"/>
      <c r="D29" s="293"/>
      <c r="E29" s="106" t="s">
        <v>37</v>
      </c>
      <c r="F29" s="109" t="s">
        <v>236</v>
      </c>
      <c r="G29" s="9">
        <v>1.06</v>
      </c>
      <c r="H29" s="12">
        <v>1.12</v>
      </c>
      <c r="I29" s="38">
        <f t="shared" si="0"/>
        <v>20361.01</v>
      </c>
      <c r="J29" s="167"/>
      <c r="K29" s="168">
        <f t="shared" si="1"/>
        <v>20361.01</v>
      </c>
    </row>
    <row r="30" spans="1:11" ht="17.25" customHeight="1">
      <c r="A30" s="23"/>
      <c r="B30" s="294"/>
      <c r="C30" s="295"/>
      <c r="D30" s="296"/>
      <c r="E30" s="169"/>
      <c r="F30" s="109"/>
      <c r="G30" s="9"/>
      <c r="H30" s="9"/>
      <c r="I30" s="178"/>
      <c r="J30" s="101"/>
      <c r="K30" s="112"/>
    </row>
    <row r="31" spans="1:11" ht="26.25" customHeight="1">
      <c r="A31" s="23"/>
      <c r="B31" s="297" t="s">
        <v>31</v>
      </c>
      <c r="C31" s="297"/>
      <c r="D31" s="297"/>
      <c r="E31" s="23"/>
      <c r="F31" s="109"/>
      <c r="G31" s="24">
        <f>SUM(G17:G29)</f>
        <v>9.520000000000001</v>
      </c>
      <c r="H31" s="24">
        <f>SUM(H17:H29)</f>
        <v>10.09</v>
      </c>
      <c r="I31" s="119">
        <f>SUM(I17:I30)</f>
        <v>176769.51</v>
      </c>
      <c r="J31" s="102"/>
      <c r="K31" s="119">
        <f>SUM(K17:K30)</f>
        <v>176769.51</v>
      </c>
    </row>
    <row r="32" spans="1:11" ht="15.75" hidden="1">
      <c r="A32" s="23"/>
      <c r="B32" s="298" t="s">
        <v>159</v>
      </c>
      <c r="C32" s="299"/>
      <c r="D32" s="300"/>
      <c r="E32" s="169" t="s">
        <v>9</v>
      </c>
      <c r="F32" s="109"/>
      <c r="G32" s="9"/>
      <c r="H32" s="9"/>
      <c r="I32" s="178"/>
      <c r="J32" s="101"/>
      <c r="K32" s="112"/>
    </row>
    <row r="33" spans="1:11" ht="15.75" hidden="1">
      <c r="A33" s="23"/>
      <c r="B33" s="298" t="s">
        <v>160</v>
      </c>
      <c r="C33" s="299"/>
      <c r="D33" s="300"/>
      <c r="E33" s="166" t="s">
        <v>37</v>
      </c>
      <c r="F33" s="109"/>
      <c r="G33" s="9"/>
      <c r="H33" s="9"/>
      <c r="I33" s="178"/>
      <c r="J33" s="101"/>
      <c r="K33" s="112"/>
    </row>
    <row r="34" spans="1:11" ht="15.75" customHeight="1" hidden="1">
      <c r="A34" s="23"/>
      <c r="B34" s="294"/>
      <c r="C34" s="295"/>
      <c r="D34" s="296"/>
      <c r="E34" s="169"/>
      <c r="F34" s="109"/>
      <c r="G34" s="9"/>
      <c r="H34" s="9"/>
      <c r="I34" s="178"/>
      <c r="J34" s="101"/>
      <c r="K34" s="112"/>
    </row>
    <row r="35" spans="1:11" ht="15.75" customHeight="1">
      <c r="A35" s="23" t="s">
        <v>238</v>
      </c>
      <c r="B35" s="273" t="s">
        <v>239</v>
      </c>
      <c r="C35" s="273"/>
      <c r="D35" s="273"/>
      <c r="E35" s="179" t="s">
        <v>214</v>
      </c>
      <c r="F35" s="109" t="s">
        <v>236</v>
      </c>
      <c r="G35" s="24">
        <f>I35/E3/6</f>
        <v>8.855486898402924</v>
      </c>
      <c r="H35" s="24">
        <f>I35/E3/5</f>
        <v>10.62658427808351</v>
      </c>
      <c r="I35" s="125">
        <v>144631</v>
      </c>
      <c r="J35" s="115"/>
      <c r="K35" s="119">
        <f>I35+J35</f>
        <v>144631</v>
      </c>
    </row>
    <row r="36" spans="1:11" ht="15.75" customHeight="1">
      <c r="A36" s="26"/>
      <c r="B36" s="285" t="s">
        <v>79</v>
      </c>
      <c r="C36" s="285"/>
      <c r="D36" s="285"/>
      <c r="E36" s="285"/>
      <c r="F36" s="285"/>
      <c r="G36" s="24">
        <f>SUM(G31:G35)</f>
        <v>18.375486898402926</v>
      </c>
      <c r="H36" s="24">
        <f>SUM(H31:H35)</f>
        <v>20.71658427808351</v>
      </c>
      <c r="I36" s="180">
        <f>SUM(I31:I35)</f>
        <v>321400.51</v>
      </c>
      <c r="J36" s="181"/>
      <c r="K36" s="181">
        <f>SUM(K31:K35)</f>
        <v>321400.51</v>
      </c>
    </row>
    <row r="37" spans="1:11" ht="15.75" customHeight="1">
      <c r="A37" s="23" t="s">
        <v>240</v>
      </c>
      <c r="B37" s="286" t="s">
        <v>95</v>
      </c>
      <c r="C37" s="287"/>
      <c r="D37" s="288"/>
      <c r="E37" s="179" t="s">
        <v>214</v>
      </c>
      <c r="F37" s="182"/>
      <c r="G37" s="24">
        <f>I37/E3/6</f>
        <v>0</v>
      </c>
      <c r="H37" s="24">
        <f>I37/E3/5</f>
        <v>0</v>
      </c>
      <c r="I37" s="118">
        <v>0</v>
      </c>
      <c r="J37" s="118"/>
      <c r="K37" s="122">
        <f>I37+J37</f>
        <v>0</v>
      </c>
    </row>
    <row r="38" spans="1:11" ht="15.75" customHeight="1">
      <c r="A38" s="26"/>
      <c r="B38" s="285" t="s">
        <v>163</v>
      </c>
      <c r="C38" s="285"/>
      <c r="D38" s="285"/>
      <c r="E38" s="285"/>
      <c r="F38" s="285"/>
      <c r="G38" s="24">
        <f>SUM(G36:G37)</f>
        <v>18.375486898402926</v>
      </c>
      <c r="H38" s="24">
        <f>SUM(H36:H37)</f>
        <v>20.71658427808351</v>
      </c>
      <c r="I38" s="180">
        <f>SUM(I36:I37)</f>
        <v>321400.51</v>
      </c>
      <c r="J38" s="181"/>
      <c r="K38" s="181">
        <f>SUM(K36:K37)</f>
        <v>321400.51</v>
      </c>
    </row>
    <row r="39" spans="1:11" ht="15.75" customHeight="1">
      <c r="A39" s="23">
        <v>3</v>
      </c>
      <c r="B39" s="289" t="s">
        <v>241</v>
      </c>
      <c r="C39" s="290"/>
      <c r="D39" s="290"/>
      <c r="E39" s="290"/>
      <c r="F39" s="290"/>
      <c r="G39" s="291"/>
      <c r="H39" s="183"/>
      <c r="I39" s="38">
        <f>I14-I38</f>
        <v>-130230.47000000003</v>
      </c>
      <c r="J39" s="38"/>
      <c r="K39" s="102">
        <f>K14-K38</f>
        <v>-105169.07000000004</v>
      </c>
    </row>
    <row r="40" spans="1:10" ht="15.75" customHeight="1">
      <c r="A40" s="184"/>
      <c r="B40" s="292"/>
      <c r="C40" s="292"/>
      <c r="D40" s="292"/>
      <c r="E40" s="292"/>
      <c r="F40" s="292"/>
      <c r="G40" s="185"/>
      <c r="H40" s="186"/>
      <c r="I40" s="186"/>
      <c r="J40" s="186"/>
    </row>
    <row r="41" spans="2:5" ht="15.75">
      <c r="B41" s="91" t="s">
        <v>165</v>
      </c>
      <c r="C41" s="91"/>
      <c r="D41" s="91"/>
      <c r="E41" s="34"/>
    </row>
    <row r="42" spans="2:4" ht="15.75">
      <c r="B42" s="91"/>
      <c r="C42" s="91"/>
      <c r="D42" s="91"/>
    </row>
    <row r="43" spans="2:4" ht="15.75">
      <c r="B43" s="120" t="s">
        <v>242</v>
      </c>
      <c r="C43" s="120"/>
      <c r="D43" s="90"/>
    </row>
    <row r="44" spans="2:4" ht="15.75" customHeight="1">
      <c r="B44" s="208" t="s">
        <v>166</v>
      </c>
      <c r="C44" s="208"/>
      <c r="D44" s="208"/>
    </row>
    <row r="46" ht="15.75">
      <c r="A46" t="s">
        <v>243</v>
      </c>
    </row>
  </sheetData>
  <sheetProtection/>
  <mergeCells count="37">
    <mergeCell ref="B8:F8"/>
    <mergeCell ref="B9:F9"/>
    <mergeCell ref="A1:K1"/>
    <mergeCell ref="A2:K2"/>
    <mergeCell ref="B7:D7"/>
    <mergeCell ref="I7:K7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33:D33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4:D44"/>
    <mergeCell ref="B35:D35"/>
    <mergeCell ref="B36:F36"/>
    <mergeCell ref="B37:D37"/>
    <mergeCell ref="B38:F38"/>
    <mergeCell ref="B39:G39"/>
    <mergeCell ref="B40:F40"/>
  </mergeCells>
  <printOptions horizontalCentered="1"/>
  <pageMargins left="0" right="0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B1">
      <selection activeCell="S10" sqref="S10"/>
    </sheetView>
  </sheetViews>
  <sheetFormatPr defaultColWidth="9.00390625" defaultRowHeight="15.75"/>
  <cols>
    <col min="1" max="1" width="11.875" style="0" customWidth="1"/>
    <col min="2" max="2" width="14.75390625" style="0" customWidth="1"/>
    <col min="3" max="3" width="11.25390625" style="0" customWidth="1"/>
    <col min="4" max="4" width="9.50390625" style="0" customWidth="1"/>
    <col min="5" max="5" width="11.25390625" style="0" customWidth="1"/>
    <col min="6" max="6" width="11.75390625" style="0" customWidth="1"/>
    <col min="7" max="7" width="9.875" style="0" bestFit="1" customWidth="1"/>
    <col min="8" max="8" width="11.25390625" style="0" customWidth="1"/>
    <col min="9" max="9" width="10.625" style="0" customWidth="1"/>
    <col min="10" max="10" width="9.875" style="0" bestFit="1" customWidth="1"/>
    <col min="11" max="11" width="9.125" style="0" bestFit="1" customWidth="1"/>
    <col min="12" max="12" width="12.50390625" style="0" customWidth="1"/>
    <col min="13" max="13" width="11.125" style="0" customWidth="1"/>
    <col min="14" max="14" width="9.875" style="0" bestFit="1" customWidth="1"/>
    <col min="15" max="15" width="13.25390625" style="0" customWidth="1"/>
    <col min="16" max="16" width="10.625" style="0" customWidth="1"/>
    <col min="18" max="18" width="11.125" style="0" customWidth="1"/>
    <col min="19" max="19" width="12.00390625" style="0" customWidth="1"/>
  </cols>
  <sheetData>
    <row r="1" spans="1:19" ht="58.5" customHeight="1">
      <c r="A1" s="307" t="s">
        <v>203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</row>
    <row r="2" spans="1:19" ht="15.75">
      <c r="A2" s="312" t="s">
        <v>167</v>
      </c>
      <c r="B2" s="317" t="s">
        <v>168</v>
      </c>
      <c r="C2" s="317" t="s">
        <v>169</v>
      </c>
      <c r="D2" s="317"/>
      <c r="E2" s="317"/>
      <c r="F2" s="317"/>
      <c r="G2" s="317"/>
      <c r="H2" s="317"/>
      <c r="I2" s="317"/>
      <c r="J2" s="318" t="s">
        <v>170</v>
      </c>
      <c r="K2" s="318"/>
      <c r="L2" s="318"/>
      <c r="M2" s="319" t="s">
        <v>171</v>
      </c>
      <c r="N2" s="317" t="s">
        <v>172</v>
      </c>
      <c r="O2" s="317"/>
      <c r="P2" s="317"/>
      <c r="Q2" s="317"/>
      <c r="R2" s="317"/>
      <c r="S2" s="308" t="s">
        <v>210</v>
      </c>
    </row>
    <row r="3" spans="1:19" ht="15.75">
      <c r="A3" s="317"/>
      <c r="B3" s="317"/>
      <c r="C3" s="309" t="s">
        <v>173</v>
      </c>
      <c r="D3" s="310"/>
      <c r="E3" s="311"/>
      <c r="F3" s="309" t="s">
        <v>174</v>
      </c>
      <c r="G3" s="310"/>
      <c r="H3" s="311"/>
      <c r="I3" s="312" t="s">
        <v>175</v>
      </c>
      <c r="J3" s="313" t="s">
        <v>176</v>
      </c>
      <c r="K3" s="315" t="s">
        <v>177</v>
      </c>
      <c r="L3" s="313" t="s">
        <v>178</v>
      </c>
      <c r="M3" s="320"/>
      <c r="N3" s="312" t="s">
        <v>179</v>
      </c>
      <c r="O3" s="317" t="s">
        <v>180</v>
      </c>
      <c r="P3" s="317" t="s">
        <v>181</v>
      </c>
      <c r="Q3" s="317" t="s">
        <v>182</v>
      </c>
      <c r="R3" s="317" t="s">
        <v>183</v>
      </c>
      <c r="S3" s="308"/>
    </row>
    <row r="4" spans="1:19" ht="33.75" customHeight="1">
      <c r="A4" s="317"/>
      <c r="B4" s="317"/>
      <c r="C4" s="135" t="s">
        <v>184</v>
      </c>
      <c r="D4" s="136" t="s">
        <v>182</v>
      </c>
      <c r="E4" s="136" t="s">
        <v>183</v>
      </c>
      <c r="F4" s="135" t="s">
        <v>184</v>
      </c>
      <c r="G4" s="136" t="s">
        <v>182</v>
      </c>
      <c r="H4" s="136" t="s">
        <v>183</v>
      </c>
      <c r="I4" s="312"/>
      <c r="J4" s="314"/>
      <c r="K4" s="316"/>
      <c r="L4" s="314"/>
      <c r="M4" s="321"/>
      <c r="N4" s="317"/>
      <c r="O4" s="317"/>
      <c r="P4" s="317"/>
      <c r="Q4" s="317"/>
      <c r="R4" s="317"/>
      <c r="S4" s="308"/>
    </row>
    <row r="5" spans="1:19" ht="42.75">
      <c r="A5" s="136">
        <v>1</v>
      </c>
      <c r="B5" s="136">
        <v>2</v>
      </c>
      <c r="C5" s="135">
        <v>3</v>
      </c>
      <c r="D5" s="136">
        <v>4</v>
      </c>
      <c r="E5" s="136" t="s">
        <v>185</v>
      </c>
      <c r="F5" s="135">
        <v>6</v>
      </c>
      <c r="G5" s="136">
        <v>7</v>
      </c>
      <c r="H5" s="136" t="s">
        <v>186</v>
      </c>
      <c r="I5" s="135" t="s">
        <v>187</v>
      </c>
      <c r="J5" s="136">
        <v>10</v>
      </c>
      <c r="K5" s="136">
        <v>11</v>
      </c>
      <c r="L5" s="135">
        <v>12</v>
      </c>
      <c r="M5" s="135" t="s">
        <v>188</v>
      </c>
      <c r="N5" s="136">
        <v>14</v>
      </c>
      <c r="O5" s="135">
        <v>15</v>
      </c>
      <c r="P5" s="136">
        <v>16</v>
      </c>
      <c r="Q5" s="136">
        <v>17</v>
      </c>
      <c r="R5" s="135" t="s">
        <v>189</v>
      </c>
      <c r="S5" s="137" t="s">
        <v>190</v>
      </c>
    </row>
    <row r="6" spans="1:19" ht="15.75">
      <c r="A6" s="138"/>
      <c r="B6" s="139" t="s">
        <v>191</v>
      </c>
      <c r="C6" s="138">
        <f>'2008'!D9</f>
        <v>171953.58</v>
      </c>
      <c r="D6" s="138">
        <f>'2008'!D13</f>
        <v>10414.65</v>
      </c>
      <c r="E6" s="138">
        <f aca="true" t="shared" si="0" ref="E6:E12">SUM(C6:D6)</f>
        <v>182368.22999999998</v>
      </c>
      <c r="F6" s="138">
        <f>'2008'!D10</f>
        <v>171529.45</v>
      </c>
      <c r="G6" s="138">
        <f>'2008'!D14</f>
        <v>10635.11</v>
      </c>
      <c r="H6" s="138">
        <f aca="true" t="shared" si="1" ref="H6:H12">SUM(F6:G6)</f>
        <v>182164.56</v>
      </c>
      <c r="I6" s="140">
        <f aca="true" t="shared" si="2" ref="I6:I12">E6-H6</f>
        <v>203.6699999999837</v>
      </c>
      <c r="J6" s="138">
        <f>0</f>
        <v>0</v>
      </c>
      <c r="K6" s="138">
        <v>0</v>
      </c>
      <c r="L6" s="138">
        <v>0</v>
      </c>
      <c r="M6" s="138">
        <f aca="true" t="shared" si="3" ref="M6:M12">H6+J6+K6+L6</f>
        <v>182164.56</v>
      </c>
      <c r="N6" s="138">
        <f>'2008'!D23</f>
        <v>18914.893799999998</v>
      </c>
      <c r="O6" s="138">
        <f>'2008'!D24</f>
        <v>120367.50599999998</v>
      </c>
      <c r="P6" s="138">
        <f>'2008'!D25</f>
        <v>183900</v>
      </c>
      <c r="Q6" s="140">
        <f>'2008'!D26</f>
        <v>0</v>
      </c>
      <c r="R6" s="138">
        <f aca="true" t="shared" si="4" ref="R6:R12">SUM(N6:Q6)</f>
        <v>323182.3998</v>
      </c>
      <c r="S6" s="138">
        <f aca="true" t="shared" si="5" ref="S6:S12">M6-R6</f>
        <v>-141017.83980000002</v>
      </c>
    </row>
    <row r="7" spans="1:19" ht="15.75">
      <c r="A7" s="138">
        <f>S6</f>
        <v>-141017.83980000002</v>
      </c>
      <c r="B7" s="139" t="s">
        <v>192</v>
      </c>
      <c r="C7" s="138">
        <f>'отчет 2009'!H10</f>
        <v>273710.66</v>
      </c>
      <c r="D7" s="138">
        <v>15605.08</v>
      </c>
      <c r="E7" s="138">
        <f t="shared" si="0"/>
        <v>289315.74</v>
      </c>
      <c r="F7" s="138">
        <f>'отчет 2009'!H13</f>
        <v>266834.74</v>
      </c>
      <c r="G7" s="138">
        <v>15703.16</v>
      </c>
      <c r="H7" s="138">
        <f t="shared" si="1"/>
        <v>282537.89999999997</v>
      </c>
      <c r="I7" s="140">
        <f t="shared" si="2"/>
        <v>6777.840000000026</v>
      </c>
      <c r="J7" s="138">
        <v>0</v>
      </c>
      <c r="K7" s="138">
        <v>0</v>
      </c>
      <c r="L7" s="138">
        <v>0</v>
      </c>
      <c r="M7" s="138">
        <f t="shared" si="3"/>
        <v>282537.89999999997</v>
      </c>
      <c r="N7" s="138">
        <f>'отчет 2009'!H31</f>
        <v>28111.78</v>
      </c>
      <c r="O7" s="138">
        <f>'отчет 2009'!H32-'отчет 2009'!H31</f>
        <v>223935.84000000003</v>
      </c>
      <c r="P7" s="138">
        <f>'отчет 2009'!H33</f>
        <v>21500</v>
      </c>
      <c r="Q7" s="140">
        <v>0</v>
      </c>
      <c r="R7" s="138">
        <f t="shared" si="4"/>
        <v>273547.62</v>
      </c>
      <c r="S7" s="138">
        <f t="shared" si="5"/>
        <v>8990.27999999997</v>
      </c>
    </row>
    <row r="8" spans="1:19" ht="15.75">
      <c r="A8" s="138">
        <f>A7+S7</f>
        <v>-132027.55980000005</v>
      </c>
      <c r="B8" s="139" t="s">
        <v>193</v>
      </c>
      <c r="C8" s="138">
        <v>287882.28</v>
      </c>
      <c r="D8" s="138">
        <v>15951.96</v>
      </c>
      <c r="E8" s="138">
        <f t="shared" si="0"/>
        <v>303834.24000000005</v>
      </c>
      <c r="F8" s="138">
        <f>'отчет 2010'!J10</f>
        <v>273470.06</v>
      </c>
      <c r="G8" s="138">
        <f>'отчет 2010'!J11</f>
        <v>15347.97</v>
      </c>
      <c r="H8" s="138">
        <f t="shared" si="1"/>
        <v>288818.02999999997</v>
      </c>
      <c r="I8" s="140">
        <f t="shared" si="2"/>
        <v>15016.21000000008</v>
      </c>
      <c r="J8" s="138">
        <f>'отчет 2010'!J12</f>
        <v>40357.12</v>
      </c>
      <c r="K8" s="138">
        <f>'отчет 2010'!J13</f>
        <v>0</v>
      </c>
      <c r="L8" s="138">
        <v>0</v>
      </c>
      <c r="M8" s="138">
        <f t="shared" si="3"/>
        <v>329175.14999999997</v>
      </c>
      <c r="N8" s="138">
        <f>'отчет 2010'!J29</f>
        <v>33425.292</v>
      </c>
      <c r="O8" s="138">
        <f>'отчет 2010'!J34-'отчет 2010'!J29</f>
        <v>250399.42599999998</v>
      </c>
      <c r="P8" s="138">
        <f>'отчет 2010'!J35</f>
        <v>159900</v>
      </c>
      <c r="Q8" s="140">
        <f>'отчет 2010'!J37</f>
        <v>0</v>
      </c>
      <c r="R8" s="138">
        <f t="shared" si="4"/>
        <v>443724.718</v>
      </c>
      <c r="S8" s="138">
        <f t="shared" si="5"/>
        <v>-114549.56800000003</v>
      </c>
    </row>
    <row r="9" spans="1:19" ht="15.75">
      <c r="A9" s="138">
        <f>A8+S8</f>
        <v>-246577.12780000007</v>
      </c>
      <c r="B9" s="139" t="s">
        <v>194</v>
      </c>
      <c r="C9" s="138">
        <v>327510.68</v>
      </c>
      <c r="D9" s="138">
        <v>18372.91</v>
      </c>
      <c r="E9" s="138">
        <f t="shared" si="0"/>
        <v>345883.58999999997</v>
      </c>
      <c r="F9" s="138">
        <f>'отчет 2011'!J10</f>
        <v>317560.07</v>
      </c>
      <c r="G9" s="138">
        <f>'отчет 2011'!J11</f>
        <v>18524.3</v>
      </c>
      <c r="H9" s="138">
        <f t="shared" si="1"/>
        <v>336084.37</v>
      </c>
      <c r="I9" s="140">
        <f t="shared" si="2"/>
        <v>9799.219999999972</v>
      </c>
      <c r="J9" s="138">
        <f>'отчет 2011'!I12</f>
        <v>41558.32</v>
      </c>
      <c r="K9" s="138">
        <f>'отчет 2011'!I13</f>
        <v>0</v>
      </c>
      <c r="L9" s="138">
        <f>'отчет 2011'!H13</f>
        <v>0</v>
      </c>
      <c r="M9" s="138">
        <f t="shared" si="3"/>
        <v>377642.69</v>
      </c>
      <c r="N9" s="138">
        <f>'отчет 2011'!J29</f>
        <v>38017.742000000006</v>
      </c>
      <c r="O9" s="138">
        <f>'отчет 2011'!J34-'отчет 2011'!J29</f>
        <v>284763.866</v>
      </c>
      <c r="P9" s="138">
        <f>'отчет 2011'!J38</f>
        <v>56914</v>
      </c>
      <c r="Q9" s="144">
        <f>'отчет 2011'!J40</f>
        <v>0</v>
      </c>
      <c r="R9" s="138">
        <f t="shared" si="4"/>
        <v>379695.608</v>
      </c>
      <c r="S9" s="138">
        <f t="shared" si="5"/>
        <v>-2052.918000000005</v>
      </c>
    </row>
    <row r="10" spans="1:19" ht="15.75">
      <c r="A10" s="138">
        <f>A9+S9</f>
        <v>-248630.04580000008</v>
      </c>
      <c r="B10" s="139" t="s">
        <v>245</v>
      </c>
      <c r="C10" s="138">
        <v>192175.95</v>
      </c>
      <c r="D10" s="138">
        <v>10800.14</v>
      </c>
      <c r="E10" s="138">
        <f t="shared" si="0"/>
        <v>202976.09000000003</v>
      </c>
      <c r="F10" s="138">
        <v>181133.33</v>
      </c>
      <c r="G10" s="138">
        <v>10036.71</v>
      </c>
      <c r="H10" s="138">
        <f t="shared" si="1"/>
        <v>191170.03999999998</v>
      </c>
      <c r="I10" s="140">
        <f t="shared" si="2"/>
        <v>11806.050000000047</v>
      </c>
      <c r="J10" s="138">
        <f>'отчет 2012(01-07)'!K12</f>
        <v>25061.4</v>
      </c>
      <c r="K10" s="138">
        <v>0</v>
      </c>
      <c r="L10" s="138">
        <v>0</v>
      </c>
      <c r="M10" s="138">
        <f t="shared" si="3"/>
        <v>216231.43999999997</v>
      </c>
      <c r="N10" s="138">
        <f>'отчет 2012(01-07)'!K29</f>
        <v>20361.01</v>
      </c>
      <c r="O10" s="138">
        <f>'отчет 2012(01-07)'!K31-'отчет 2012(01-07)'!K29</f>
        <v>156408.5</v>
      </c>
      <c r="P10" s="138">
        <f>'отчет 2012(01-07)'!K35</f>
        <v>144631</v>
      </c>
      <c r="Q10" s="141">
        <v>0</v>
      </c>
      <c r="R10" s="138">
        <f t="shared" si="4"/>
        <v>321400.51</v>
      </c>
      <c r="S10" s="138">
        <f t="shared" si="5"/>
        <v>-105169.07000000004</v>
      </c>
    </row>
    <row r="11" spans="1:19" ht="15.75">
      <c r="A11" s="138">
        <f>A10+S10</f>
        <v>-353799.11580000015</v>
      </c>
      <c r="B11" s="139" t="s">
        <v>195</v>
      </c>
      <c r="C11" s="138"/>
      <c r="D11" s="138"/>
      <c r="E11" s="138">
        <f t="shared" si="0"/>
        <v>0</v>
      </c>
      <c r="F11" s="138"/>
      <c r="G11" s="138"/>
      <c r="H11" s="138">
        <f t="shared" si="1"/>
        <v>0</v>
      </c>
      <c r="I11" s="140">
        <f t="shared" si="2"/>
        <v>0</v>
      </c>
      <c r="J11" s="138"/>
      <c r="K11" s="138"/>
      <c r="L11" s="138"/>
      <c r="M11" s="138">
        <f t="shared" si="3"/>
        <v>0</v>
      </c>
      <c r="N11" s="138"/>
      <c r="O11" s="138"/>
      <c r="P11" s="141"/>
      <c r="Q11" s="141"/>
      <c r="R11" s="138">
        <f t="shared" si="4"/>
        <v>0</v>
      </c>
      <c r="S11" s="138">
        <f t="shared" si="5"/>
        <v>0</v>
      </c>
    </row>
    <row r="12" spans="1:19" ht="15.75">
      <c r="A12" s="138" t="s">
        <v>200</v>
      </c>
      <c r="B12" s="139" t="s">
        <v>196</v>
      </c>
      <c r="C12" s="142">
        <f>SUM(C6:C11)</f>
        <v>1253233.15</v>
      </c>
      <c r="D12" s="142">
        <f>SUM(D6:D11)</f>
        <v>71144.74</v>
      </c>
      <c r="E12" s="142">
        <f t="shared" si="0"/>
        <v>1324377.89</v>
      </c>
      <c r="F12" s="142">
        <f>SUM(F6:F11)</f>
        <v>1210527.6500000001</v>
      </c>
      <c r="G12" s="142">
        <f>SUM(G6:G11)</f>
        <v>70247.25</v>
      </c>
      <c r="H12" s="142">
        <f t="shared" si="1"/>
        <v>1280774.9000000001</v>
      </c>
      <c r="I12" s="143">
        <f t="shared" si="2"/>
        <v>43602.98999999976</v>
      </c>
      <c r="J12" s="142">
        <f>SUM(J6:J11)</f>
        <v>106976.84</v>
      </c>
      <c r="K12" s="142">
        <f>SUM(K6:K11)</f>
        <v>0</v>
      </c>
      <c r="L12" s="142">
        <f>SUM(L6:L11)</f>
        <v>0</v>
      </c>
      <c r="M12" s="142">
        <f t="shared" si="3"/>
        <v>1387751.7400000002</v>
      </c>
      <c r="N12" s="142">
        <f>SUM(N6:N11)</f>
        <v>138830.7178</v>
      </c>
      <c r="O12" s="142">
        <f>SUM(O6:O11)</f>
        <v>1035875.138</v>
      </c>
      <c r="P12" s="142">
        <f>SUM(P6:P11)</f>
        <v>566845</v>
      </c>
      <c r="Q12" s="142">
        <f>SUM(Q6:Q11)</f>
        <v>0</v>
      </c>
      <c r="R12" s="142">
        <f t="shared" si="4"/>
        <v>1741550.8558</v>
      </c>
      <c r="S12" s="142">
        <f t="shared" si="5"/>
        <v>-353799.1157999998</v>
      </c>
    </row>
    <row r="14" spans="2:9" ht="18.75">
      <c r="B14" s="306" t="s">
        <v>246</v>
      </c>
      <c r="C14" s="306"/>
      <c r="D14" s="306"/>
      <c r="E14" s="306"/>
      <c r="F14" s="306" t="s">
        <v>247</v>
      </c>
      <c r="G14" s="306"/>
      <c r="H14" s="306"/>
      <c r="I14" s="306"/>
    </row>
    <row r="15" spans="2:9" ht="18.75">
      <c r="B15" s="187"/>
      <c r="C15" s="187"/>
      <c r="D15" s="187"/>
      <c r="E15" s="187"/>
      <c r="F15" s="187"/>
      <c r="G15" s="187"/>
      <c r="H15" s="187"/>
      <c r="I15" s="187"/>
    </row>
    <row r="16" spans="2:9" ht="15.75">
      <c r="B16" s="188"/>
      <c r="C16" s="188"/>
      <c r="D16" s="188"/>
      <c r="E16" s="188"/>
      <c r="F16" s="188"/>
      <c r="G16" s="188"/>
      <c r="H16" s="188"/>
      <c r="I16" s="188"/>
    </row>
    <row r="17" spans="2:9" ht="18.75">
      <c r="B17" s="188"/>
      <c r="C17" s="189"/>
      <c r="D17" s="189"/>
      <c r="E17" s="188"/>
      <c r="F17" s="188"/>
      <c r="G17" s="188"/>
      <c r="H17" s="188"/>
      <c r="I17" s="188"/>
    </row>
    <row r="18" spans="2:9" ht="18.75">
      <c r="B18" s="190" t="s">
        <v>248</v>
      </c>
      <c r="C18" s="187"/>
      <c r="D18" s="187"/>
      <c r="E18" s="188"/>
      <c r="F18" s="188"/>
      <c r="G18" s="188"/>
      <c r="H18" s="188"/>
      <c r="I18" s="188"/>
    </row>
    <row r="19" spans="2:9" ht="18.75">
      <c r="B19" s="190" t="s">
        <v>249</v>
      </c>
      <c r="C19" s="187"/>
      <c r="D19" s="187"/>
      <c r="E19" s="188"/>
      <c r="F19" s="188"/>
      <c r="G19" s="188"/>
      <c r="H19" s="188"/>
      <c r="I19" s="188"/>
    </row>
    <row r="20" spans="2:9" ht="18.75">
      <c r="B20" s="191" t="s">
        <v>250</v>
      </c>
      <c r="C20" s="188"/>
      <c r="D20" s="188"/>
      <c r="E20" s="188"/>
      <c r="F20" s="306" t="s">
        <v>251</v>
      </c>
      <c r="G20" s="306"/>
      <c r="H20" s="306"/>
      <c r="I20" s="188"/>
    </row>
    <row r="22" ht="15.75">
      <c r="A22" t="s">
        <v>243</v>
      </c>
    </row>
  </sheetData>
  <sheetProtection/>
  <mergeCells count="22">
    <mergeCell ref="R3:R4"/>
    <mergeCell ref="P3:P4"/>
    <mergeCell ref="L3:L4"/>
    <mergeCell ref="N3:N4"/>
    <mergeCell ref="O3:O4"/>
    <mergeCell ref="M2:M4"/>
    <mergeCell ref="N2:R2"/>
    <mergeCell ref="Q3:Q4"/>
    <mergeCell ref="A2:A4"/>
    <mergeCell ref="B2:B4"/>
    <mergeCell ref="C2:I2"/>
    <mergeCell ref="J2:L2"/>
    <mergeCell ref="B14:E14"/>
    <mergeCell ref="F14:I14"/>
    <mergeCell ref="F20:H20"/>
    <mergeCell ref="A1:S1"/>
    <mergeCell ref="S2:S4"/>
    <mergeCell ref="C3:E3"/>
    <mergeCell ref="F3:H3"/>
    <mergeCell ref="I3:I4"/>
    <mergeCell ref="J3:J4"/>
    <mergeCell ref="K3:K4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2013-03-04T05:38:58Z</cp:lastPrinted>
  <dcterms:created xsi:type="dcterms:W3CDTF">2009-08-26T03:25:10Z</dcterms:created>
  <dcterms:modified xsi:type="dcterms:W3CDTF">2013-03-25T05:59:59Z</dcterms:modified>
  <cp:category/>
  <cp:version/>
  <cp:contentType/>
  <cp:contentStatus/>
</cp:coreProperties>
</file>