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5" activeTab="5"/>
  </bookViews>
  <sheets>
    <sheet name="отчет 2011" sheetId="1" state="hidden" r:id="rId1"/>
    <sheet name="07.12" sheetId="2" state="hidden" r:id="rId2"/>
    <sheet name=" отв. Совету" sheetId="3" state="hidden" r:id="rId3"/>
    <sheet name="план 2012" sheetId="4" state="hidden" r:id="rId4"/>
    <sheet name="план 2013" sheetId="5" state="hidden" r:id="rId5"/>
    <sheet name="отчет 2012(08-12)" sheetId="6" r:id="rId6"/>
    <sheet name="накоп. отчет" sheetId="7" state="hidden" r:id="rId7"/>
  </sheets>
  <definedNames/>
  <calcPr fullCalcOnLoad="1"/>
</workbook>
</file>

<file path=xl/sharedStrings.xml><?xml version="1.0" encoding="utf-8"?>
<sst xmlns="http://schemas.openxmlformats.org/spreadsheetml/2006/main" count="529" uniqueCount="169">
  <si>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</si>
  <si>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</si>
  <si>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</si>
  <si>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</si>
  <si>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</si>
  <si>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</si>
  <si>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</si>
  <si>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</si>
  <si>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</si>
  <si>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</si>
  <si>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</si>
  <si>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</si>
  <si>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</si>
  <si>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</si>
  <si>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</si>
  <si>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</si>
  <si>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</si>
  <si>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</si>
  <si>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</si>
  <si>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</si>
  <si>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</si>
  <si>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</si>
  <si>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</si>
  <si>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</si>
  <si>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</si>
  <si>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</si>
  <si>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</si>
  <si>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</si>
  <si>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</si>
  <si>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</si>
  <si>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</si>
  <si>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</si>
  <si>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</si>
  <si>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</si>
  <si>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Содержание и уборка придомовой территории </t>
  </si>
  <si>
    <t>есть</t>
  </si>
  <si>
    <t>ООО "ОЖКС № 3"</t>
  </si>
  <si>
    <t>Адрес:Гомельская. 32</t>
  </si>
  <si>
    <t>1.</t>
  </si>
  <si>
    <t>2.</t>
  </si>
  <si>
    <t>кв.м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</si>
  <si>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</si>
  <si>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</si>
  <si>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</si>
  <si>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</si>
  <si>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</si>
  <si>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 xml:space="preserve">S нежилых </t>
  </si>
  <si>
    <t xml:space="preserve">помещений, </t>
  </si>
  <si>
    <t>Виды услуг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</si>
  <si>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</si>
  <si>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</si>
  <si>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</si>
  <si>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</si>
  <si>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</si>
  <si>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</si>
  <si>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</si>
  <si>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</si>
  <si>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</si>
  <si>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</si>
  <si>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</si>
  <si>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</si>
  <si>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Претензий по управлению нет (да)</t>
  </si>
  <si>
    <t>год</t>
  </si>
  <si>
    <t>выполнено работ, руб.</t>
  </si>
  <si>
    <t>начислено</t>
  </si>
  <si>
    <t>оплачено</t>
  </si>
  <si>
    <t>результат
(+долг, 
-перепл.)</t>
  </si>
  <si>
    <t>обслуж.</t>
  </si>
  <si>
    <t>тек. рем.</t>
  </si>
  <si>
    <t>кап.рем.</t>
  </si>
  <si>
    <t>итого</t>
  </si>
  <si>
    <t>обслуж.
+ тек.р.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</si>
  <si>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</si>
  <si>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</si>
  <si>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</si>
  <si>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>Тариф на 
1 кв.м.
руб.</t>
  </si>
  <si>
    <t>Обслуживание домофонов</t>
  </si>
  <si>
    <t>Обслуживание приборов учета</t>
  </si>
  <si>
    <t>Сумма в год, руб.</t>
  </si>
  <si>
    <t>население</t>
  </si>
  <si>
    <t>арендаторы</t>
  </si>
  <si>
    <t>всего</t>
  </si>
  <si>
    <t xml:space="preserve"> - прочие доходы (антены)</t>
  </si>
  <si>
    <t xml:space="preserve">Директор ООО "ОЖКС № 3"                                               Т.И. Плотникова                         </t>
  </si>
  <si>
    <t>взаимоотношения с населением по утвержденному тарифу, руб.</t>
  </si>
  <si>
    <t>прочие доходы, руб.</t>
  </si>
  <si>
    <t>ИТОГО
ДОХОДОВ</t>
  </si>
  <si>
    <t>аренда
торы</t>
  </si>
  <si>
    <t>антенны</t>
  </si>
  <si>
    <t>бюджетные
средства по ФЗ-185</t>
  </si>
  <si>
    <t>управ
ление</t>
  </si>
  <si>
    <t>5=3+4</t>
  </si>
  <si>
    <t>8=6+7</t>
  </si>
  <si>
    <t>9=5-8</t>
  </si>
  <si>
    <t>13=
8+10+11+12</t>
  </si>
  <si>
    <t>18=14+15+
16+17</t>
  </si>
  <si>
    <t>19=13-18</t>
  </si>
  <si>
    <t>ООО  "ОЖКС № 3"</t>
  </si>
  <si>
    <t>Итого:</t>
  </si>
  <si>
    <t>ав/обслуж - 
круглосуточно 
профосмотр -
 1 раз в год по графику</t>
  </si>
  <si>
    <t>по графику 40-час.
 рабочей недели</t>
  </si>
  <si>
    <t>по графику 40-час. 
рабочей недели</t>
  </si>
  <si>
    <t xml:space="preserve"> </t>
  </si>
  <si>
    <t>результат
 за год
(+эконом., 
-перерасх.)</t>
  </si>
  <si>
    <r>
      <t xml:space="preserve">Сбор, вывоз  бытового мусора, содержание  
</t>
    </r>
    <r>
      <rPr>
        <sz val="12"/>
        <rFont val="Times New Roman"/>
        <family val="1"/>
      </rPr>
      <t>мусоропроводов</t>
    </r>
    <r>
      <rPr>
        <sz val="12"/>
        <color indexed="10"/>
        <rFont val="Times New Roman"/>
        <family val="1"/>
      </rPr>
      <t xml:space="preserve"> </t>
    </r>
  </si>
  <si>
    <t>ОТЧЕТ
за  2011 г. о выполнении условий  договора управления МКД № 270/3 от 28.03.2008 г., 
заключенного между ООО "ОЖКС № 3" и собственниками многоквартирного дома
по адресу:  ул. Гомельская, 32</t>
  </si>
  <si>
    <t>Принято: Старший по дому                                                   ____________________</t>
  </si>
  <si>
    <r>
      <t xml:space="preserve">Сбор, вывоз  бытового мусора, содержание  </t>
    </r>
    <r>
      <rPr>
        <sz val="12"/>
        <rFont val="Times New Roman"/>
        <family val="1"/>
      </rPr>
      <t xml:space="preserve">мусоропроводов </t>
    </r>
  </si>
  <si>
    <t xml:space="preserve">Финансовый результат за 2011г. (+ экономия,- перерасход)                                                      </t>
  </si>
  <si>
    <t>Справочно:   индекс увеличения тарифа по году 103%</t>
  </si>
  <si>
    <t>- с 1 января 2012 г. тариф остается на уровне 2011 г.</t>
  </si>
  <si>
    <t>- с 1 июля 2012г.к тарифу применен индекс 106%</t>
  </si>
  <si>
    <t xml:space="preserve">Директор ООО "ОЖКС № 3"                                               Т.И. Плотникова                </t>
  </si>
  <si>
    <t xml:space="preserve"> Текущий ремонт общего имущества  </t>
  </si>
  <si>
    <t xml:space="preserve">Капитальный ремонт  </t>
  </si>
  <si>
    <t xml:space="preserve">        Представитель собственников - старший по дому __________________, с одной стороны и Общество с 
Ограниченной Ответственностью "Октябрьский Жилкомсервис № 3" в лице директора Плотниковой Т.И., 
действующей на основании Устава,  с другой стороны, составили настоящий отчет о выполненных работах  в  2011г.      </t>
  </si>
  <si>
    <t>Смета доходов и расходов  на  2012 г.
согласно договора управления МКД № 270/3 от 28.03.2008г., заключенного 
между ООО "ОЖКС № 3" и собственниками многоквартирного дома</t>
  </si>
  <si>
    <t>по плану работ</t>
  </si>
  <si>
    <t>Расчет стоимости договора и тарифа 1 м2 на 2012 г.</t>
  </si>
  <si>
    <t xml:space="preserve">         Приложение №7 к Договору 
на оказание услуг и  выполнение работ   
по содержанию, текущему и капитальному ремонту  
общего имущества МКД № ___ от "____"___________2012г.</t>
  </si>
  <si>
    <t>Адрес: Гомельская, 32</t>
  </si>
  <si>
    <t>5=гр.4*Sдома*5мес.</t>
  </si>
  <si>
    <t>Тариф 
на 
1 кв.м. август-декабрь 2012г.
руб.</t>
  </si>
  <si>
    <t>Стоимость работ
август-декабрь 2012г.                      руб.</t>
  </si>
  <si>
    <t>1.1.</t>
  </si>
  <si>
    <t>1.2.</t>
  </si>
  <si>
    <t>1.3.</t>
  </si>
  <si>
    <t xml:space="preserve">Директор ООО "ОЖКС № 3"                                                                       </t>
  </si>
  <si>
    <t xml:space="preserve">           Представитель собственников</t>
  </si>
  <si>
    <t>________________ Т.И. Плотникова</t>
  </si>
  <si>
    <t xml:space="preserve">            ________________________</t>
  </si>
  <si>
    <t>* в случае уточнения площадей возможно изменение стоимости</t>
  </si>
  <si>
    <t>подметание асфальта -   1 раз/неделю,                
подбор мусора - ежедневно</t>
  </si>
  <si>
    <t>S жилых и нежилых помещений.,кв.м</t>
  </si>
  <si>
    <t>Дворовое освещение</t>
  </si>
  <si>
    <t>Сбор, вывоз  бытового мусора</t>
  </si>
  <si>
    <t>Тариф на 
1 кв.м.с 01.01.13г. по 30.06.13г.
руб.</t>
  </si>
  <si>
    <t>Тариф на 
1 кв.м.с 01.07.13г. по 31.12.13г.
руб.</t>
  </si>
  <si>
    <t>Стоимость работ январь-декабрь 2013г.
руб.</t>
  </si>
  <si>
    <t>6=(гр.4*Sдома*6мес)+(гр.5*Sдома*6мес)</t>
  </si>
  <si>
    <t xml:space="preserve">Управление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</si>
  <si>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</si>
  <si>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 xml:space="preserve">Директор ООО "ОЖКС № 3"   ________________________ Т.И. Плотникова                </t>
  </si>
  <si>
    <t>Сальдо
 на 01.08
+экономия
-перерасход</t>
  </si>
  <si>
    <t>Смета доходов и расходов  на  2013 г.
согласно договора на оказание услуг МКД № 66/3 от 15.07.2012г., заключенного 
между ООО "ОЖКС № 3" и собственниками многоквартирного дома по адресу: ул. Гомельская, 32</t>
  </si>
  <si>
    <t>за 5 мес. 2012г.</t>
  </si>
  <si>
    <t>S жилых и нежилых помещений, кв.м</t>
  </si>
  <si>
    <t xml:space="preserve"> - прочие доходы </t>
  </si>
  <si>
    <r>
      <t xml:space="preserve">Сбор, вывоз  бытового мусора, содержание  </t>
    </r>
    <r>
      <rPr>
        <sz val="12"/>
        <rFont val="Times New Roman"/>
        <family val="1"/>
      </rPr>
      <t xml:space="preserve">контейнерных площадок </t>
    </r>
  </si>
  <si>
    <t>1раз/неделю-подметание 1/раз/месяц-влажная уборка</t>
  </si>
  <si>
    <t xml:space="preserve"> Текущий ремонт общего имущества </t>
  </si>
  <si>
    <t xml:space="preserve">Капитальный ремонт </t>
  </si>
  <si>
    <t>Принято: совет МКД                                          ___________________</t>
  </si>
  <si>
    <t>ОТЧЕТ
с 01.08.12г. по 31.12 2012г. о выполнении условий договора на оказание услуг МКД № 66/3 от 15.07.12г., 
заключенного между ООО "ОЖКС № 3" и  собственники многоквартирного дома
по адресу:  ул. Гомельская, 32</t>
  </si>
  <si>
    <t xml:space="preserve">        Совет МКД в лице_______________, действующего на основании Устава с одной стороны и Общество с Ограниченной Ответственностью "Октябрьский Жилкомсервис № 3" в лице директора Плотниковой Т.И., действующей на основании Устава,  с другой стороны, составили настоящий отчет о выполненных работах  с 01.08.12г. по 31.12. 2012г.      </t>
  </si>
  <si>
    <t>Тариф 01.08.12г-31.12.12г</t>
  </si>
  <si>
    <t>Сумма 01.08.12-31.12.12г, руб.</t>
  </si>
  <si>
    <t xml:space="preserve">Финансовый результат с 01.08.12г по 31.12.2012г. (+ экономия,- перерасход)                                                      </t>
  </si>
  <si>
    <t>ОТЧЕТ
по  договору на оказание услуг МКД № 66/3 от 15.07.2012 г., заключенного между ООО "ОЖКС № 3" и 
собственниками многоквартирного дома по адресу:  ул. Гомельская,32</t>
  </si>
  <si>
    <t xml:space="preserve">Директор ООО "ОЖКС № 3"                                 </t>
  </si>
  <si>
    <t xml:space="preserve">____________ Т.И. Плотникова                              </t>
  </si>
  <si>
    <t>Совет МКД</t>
  </si>
  <si>
    <t>_______________/___________/</t>
  </si>
  <si>
    <t>Тариф действует с 1 августа 2012 г. в размере  15,36 руб., капитальный ремонт - 0,80 руб.</t>
  </si>
  <si>
    <t>Тариф 
на 
1 кв.м. сентябрь-декабрь 2012г.
руб.</t>
  </si>
  <si>
    <t>Стоимость работ
сентябрь-декабрь 2012г.                      руб.</t>
  </si>
  <si>
    <t>5=гр.4*Sдома*4мес.</t>
  </si>
  <si>
    <t>Тариф действует с 1 сентября 2012 г. в размере  14,37 руб., капитальный ремонт - 0,80 руб.</t>
  </si>
  <si>
    <t>(с исключением эл.энергии мест общего пользования внутри дома)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</si>
</sst>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15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16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8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4" fontId="2" fillId="0" borderId="8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2" fillId="0" borderId="15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left" vertical="center"/>
    </xf>
    <xf numFmtId="2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170" fontId="5" fillId="0" borderId="15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2" fillId="3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0" fillId="3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164" fontId="2" fillId="0" borderId="1" xfId="0" applyNumberFormat="1" applyFont="1" applyBorder="1" applyAlignment="1">
      <alignment vertical="center"/>
    </xf>
    <xf numFmtId="0" fontId="14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vertical="center" wrapText="1"/>
    </xf>
    <xf numFmtId="0" fontId="0" fillId="0" borderId="8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8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2">
      <selection activeCell="B44" sqref="B44:D44"/>
    </sheetView>
  </sheetViews>
  <sheetFormatPr defaultColWidth="9.00390625" defaultRowHeight="15.75"/>
  <cols>
    <col min="1" max="1" width="5.25390625" style="0" customWidth="1"/>
    <col min="2" max="2" width="26.25390625" style="0" customWidth="1"/>
    <col min="3" max="3" width="3.75390625" style="0" customWidth="1"/>
    <col min="4" max="4" width="8.00390625" style="0" customWidth="1"/>
    <col min="5" max="5" width="14.50390625" style="0" customWidth="1"/>
    <col min="6" max="6" width="11.875" style="0" hidden="1" customWidth="1"/>
    <col min="7" max="7" width="7.50390625" style="0" hidden="1" customWidth="1"/>
    <col min="8" max="8" width="11.875" style="0" customWidth="1"/>
    <col min="9" max="9" width="11.625" style="0" customWidth="1"/>
    <col min="10" max="10" width="12.375" style="0" customWidth="1"/>
  </cols>
  <sheetData>
    <row r="1" spans="1:10" ht="90" customHeight="1">
      <c r="A1" s="158" t="s">
        <v>105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65.25" customHeight="1">
      <c r="A2" s="159" t="s">
        <v>115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9" ht="18.75">
      <c r="A3" s="1"/>
      <c r="B3" s="1" t="s">
        <v>37</v>
      </c>
      <c r="C3" s="2"/>
      <c r="D3" s="2" t="s">
        <v>0</v>
      </c>
      <c r="E3" s="4">
        <v>5621</v>
      </c>
      <c r="G3" s="39"/>
      <c r="H3" s="39"/>
      <c r="I3" s="39">
        <v>0</v>
      </c>
    </row>
    <row r="4" spans="2:9" ht="15.75">
      <c r="B4" s="3" t="s">
        <v>1</v>
      </c>
      <c r="C4" s="16">
        <v>9</v>
      </c>
      <c r="D4" s="2" t="s">
        <v>2</v>
      </c>
      <c r="E4" s="4">
        <v>108</v>
      </c>
      <c r="I4" t="s">
        <v>40</v>
      </c>
    </row>
    <row r="5" spans="2:9" ht="15.75">
      <c r="B5" s="3" t="s">
        <v>3</v>
      </c>
      <c r="C5" s="4">
        <v>3</v>
      </c>
      <c r="D5" s="2" t="s">
        <v>4</v>
      </c>
      <c r="E5" s="2" t="s">
        <v>35</v>
      </c>
      <c r="F5" s="2"/>
      <c r="G5" s="2"/>
      <c r="I5" s="2" t="s">
        <v>46</v>
      </c>
    </row>
    <row r="6" spans="2:9" ht="15.75">
      <c r="B6" s="3"/>
      <c r="C6" s="4"/>
      <c r="D6" s="2" t="s">
        <v>5</v>
      </c>
      <c r="E6" s="2" t="s">
        <v>35</v>
      </c>
      <c r="F6" s="2"/>
      <c r="I6" t="s">
        <v>47</v>
      </c>
    </row>
    <row r="7" spans="1:10" ht="47.25">
      <c r="A7" s="11" t="s">
        <v>30</v>
      </c>
      <c r="B7" s="160" t="s">
        <v>48</v>
      </c>
      <c r="C7" s="161"/>
      <c r="D7" s="162"/>
      <c r="E7" s="6" t="s">
        <v>6</v>
      </c>
      <c r="F7" s="6" t="s">
        <v>7</v>
      </c>
      <c r="G7" s="18" t="s">
        <v>19</v>
      </c>
      <c r="H7" s="163" t="s">
        <v>78</v>
      </c>
      <c r="I7" s="164"/>
      <c r="J7" s="165"/>
    </row>
    <row r="8" spans="1:10" ht="15.75">
      <c r="A8" s="12">
        <v>1</v>
      </c>
      <c r="B8" s="155"/>
      <c r="C8" s="156"/>
      <c r="D8" s="156"/>
      <c r="E8" s="156"/>
      <c r="F8" s="157"/>
      <c r="G8" s="60"/>
      <c r="H8" s="31" t="s">
        <v>79</v>
      </c>
      <c r="I8" s="62" t="s">
        <v>80</v>
      </c>
      <c r="J8" s="62" t="s">
        <v>81</v>
      </c>
    </row>
    <row r="9" spans="1:10" ht="15.75">
      <c r="A9" s="12"/>
      <c r="B9" s="155" t="s">
        <v>49</v>
      </c>
      <c r="C9" s="156"/>
      <c r="D9" s="156"/>
      <c r="E9" s="156"/>
      <c r="F9" s="157"/>
      <c r="G9" s="31"/>
      <c r="H9" s="31"/>
      <c r="I9" s="22"/>
      <c r="J9" s="62"/>
    </row>
    <row r="10" spans="1:10" ht="15.75">
      <c r="A10" s="40"/>
      <c r="B10" s="152" t="s">
        <v>50</v>
      </c>
      <c r="C10" s="152"/>
      <c r="D10" s="152"/>
      <c r="E10" s="152"/>
      <c r="F10" s="152"/>
      <c r="G10" s="8"/>
      <c r="H10" s="75">
        <v>958032.29</v>
      </c>
      <c r="I10" s="28"/>
      <c r="J10" s="23">
        <f>H10+I10</f>
        <v>958032.29</v>
      </c>
    </row>
    <row r="11" spans="1:10" ht="15.75">
      <c r="A11" s="40"/>
      <c r="B11" s="152" t="s">
        <v>51</v>
      </c>
      <c r="C11" s="152"/>
      <c r="D11" s="152"/>
      <c r="E11" s="152"/>
      <c r="F11" s="152"/>
      <c r="G11" s="8"/>
      <c r="H11" s="76">
        <v>44545.63</v>
      </c>
      <c r="I11" s="28"/>
      <c r="J11" s="23">
        <f>H11+I11</f>
        <v>44545.63</v>
      </c>
    </row>
    <row r="12" spans="1:10" ht="15.75">
      <c r="A12" s="12"/>
      <c r="B12" s="152" t="s">
        <v>52</v>
      </c>
      <c r="C12" s="152"/>
      <c r="D12" s="152"/>
      <c r="E12" s="152"/>
      <c r="F12" s="152"/>
      <c r="G12" s="8"/>
      <c r="H12" s="75"/>
      <c r="I12" s="28">
        <v>0</v>
      </c>
      <c r="J12" s="23">
        <f>H12+I12</f>
        <v>0</v>
      </c>
    </row>
    <row r="13" spans="1:10" ht="15.75">
      <c r="A13" s="12"/>
      <c r="B13" s="152" t="s">
        <v>82</v>
      </c>
      <c r="C13" s="152"/>
      <c r="D13" s="152"/>
      <c r="E13" s="152"/>
      <c r="F13" s="152"/>
      <c r="G13" s="8"/>
      <c r="H13" s="75"/>
      <c r="I13" s="63">
        <v>0</v>
      </c>
      <c r="J13" s="23">
        <f>H13+I13</f>
        <v>0</v>
      </c>
    </row>
    <row r="14" spans="1:10" ht="15.75">
      <c r="A14" s="12"/>
      <c r="B14" s="153" t="s">
        <v>53</v>
      </c>
      <c r="C14" s="153"/>
      <c r="D14" s="153"/>
      <c r="E14" s="153"/>
      <c r="F14" s="153"/>
      <c r="G14" s="8"/>
      <c r="H14" s="70">
        <f>SUM(H10:H12)</f>
        <v>1002577.92</v>
      </c>
      <c r="I14" s="64">
        <f>SUM(I12:I13)</f>
        <v>0</v>
      </c>
      <c r="J14" s="70">
        <f>SUM(J10:J13)</f>
        <v>1002577.92</v>
      </c>
    </row>
    <row r="15" spans="1:10" ht="18.75">
      <c r="A15" s="12">
        <v>2</v>
      </c>
      <c r="B15" s="154" t="s">
        <v>31</v>
      </c>
      <c r="C15" s="154"/>
      <c r="D15" s="154"/>
      <c r="E15" s="154"/>
      <c r="F15" s="154"/>
      <c r="G15" s="8"/>
      <c r="H15" s="75"/>
      <c r="I15" s="28"/>
      <c r="J15" s="23"/>
    </row>
    <row r="16" spans="1:10" ht="15.75">
      <c r="A16" s="12"/>
      <c r="B16" s="9" t="s">
        <v>32</v>
      </c>
      <c r="C16" s="9"/>
      <c r="D16" s="9"/>
      <c r="E16" s="9"/>
      <c r="F16" s="5"/>
      <c r="G16" s="61"/>
      <c r="H16" s="31"/>
      <c r="I16" s="58"/>
      <c r="J16" s="72"/>
    </row>
    <row r="17" spans="1:10" ht="33" customHeight="1">
      <c r="A17" s="15"/>
      <c r="B17" s="132" t="s">
        <v>104</v>
      </c>
      <c r="C17" s="132"/>
      <c r="D17" s="132"/>
      <c r="E17" s="41" t="s">
        <v>27</v>
      </c>
      <c r="F17" s="33" t="s">
        <v>21</v>
      </c>
      <c r="G17" s="34">
        <v>1.22</v>
      </c>
      <c r="H17" s="43">
        <f>ROUND(G17*$E$3*12,2)</f>
        <v>82291.44</v>
      </c>
      <c r="I17" s="65">
        <f>$I$12*0.08</f>
        <v>0</v>
      </c>
      <c r="J17" s="64">
        <f>SUM(H17:I17)</f>
        <v>82291.44</v>
      </c>
    </row>
    <row r="18" spans="1:10" ht="15.75" customHeight="1">
      <c r="A18" s="12"/>
      <c r="B18" s="134" t="s">
        <v>15</v>
      </c>
      <c r="C18" s="134"/>
      <c r="D18" s="134"/>
      <c r="E18" s="41" t="s">
        <v>27</v>
      </c>
      <c r="F18" s="33" t="s">
        <v>16</v>
      </c>
      <c r="G18" s="34">
        <v>0.28</v>
      </c>
      <c r="H18" s="43">
        <f>ROUND(G18*$E$3*12,2)</f>
        <v>18886.56</v>
      </c>
      <c r="I18" s="65">
        <f>$I$12*0.02</f>
        <v>0</v>
      </c>
      <c r="J18" s="64">
        <f>SUM(H18:I18)</f>
        <v>18886.56</v>
      </c>
    </row>
    <row r="19" spans="1:10" ht="15.75" customHeight="1">
      <c r="A19" s="12"/>
      <c r="B19" s="135" t="s">
        <v>20</v>
      </c>
      <c r="C19" s="135"/>
      <c r="D19" s="135"/>
      <c r="E19" s="44" t="s">
        <v>54</v>
      </c>
      <c r="F19" s="36" t="s">
        <v>17</v>
      </c>
      <c r="G19" s="34">
        <v>0.99</v>
      </c>
      <c r="H19" s="43">
        <f>J19-I19</f>
        <v>85809.31</v>
      </c>
      <c r="I19" s="65">
        <f>$I$12*0.07</f>
        <v>0</v>
      </c>
      <c r="J19" s="73">
        <v>85809.31</v>
      </c>
    </row>
    <row r="20" spans="1:10" ht="15.75" customHeight="1">
      <c r="A20" s="15"/>
      <c r="B20" s="132" t="s">
        <v>26</v>
      </c>
      <c r="C20" s="132"/>
      <c r="D20" s="132"/>
      <c r="E20" s="45" t="s">
        <v>8</v>
      </c>
      <c r="F20" s="37" t="s">
        <v>9</v>
      </c>
      <c r="G20" s="34">
        <v>0.51</v>
      </c>
      <c r="H20" s="43">
        <f>ROUND(G20*$E$3*12,2)</f>
        <v>34400.52</v>
      </c>
      <c r="I20" s="65">
        <f>$I$12*0.04</f>
        <v>0</v>
      </c>
      <c r="J20" s="64">
        <f>SUM(H20:I20)</f>
        <v>34400.52</v>
      </c>
    </row>
    <row r="21" spans="1:10" ht="66" customHeight="1">
      <c r="A21" s="12"/>
      <c r="B21" s="135" t="s">
        <v>24</v>
      </c>
      <c r="C21" s="135"/>
      <c r="D21" s="135"/>
      <c r="E21" s="44" t="s">
        <v>99</v>
      </c>
      <c r="F21" s="36" t="s">
        <v>22</v>
      </c>
      <c r="G21" s="34">
        <v>0.12</v>
      </c>
      <c r="H21" s="43">
        <f>J21-I21</f>
        <v>5613.3</v>
      </c>
      <c r="I21" s="65">
        <f>$I$12*0.01</f>
        <v>0</v>
      </c>
      <c r="J21" s="73">
        <v>5613.3</v>
      </c>
    </row>
    <row r="22" spans="1:10" ht="32.25" customHeight="1">
      <c r="A22" s="15"/>
      <c r="B22" s="135" t="s">
        <v>10</v>
      </c>
      <c r="C22" s="135"/>
      <c r="D22" s="135"/>
      <c r="E22" s="44" t="s">
        <v>8</v>
      </c>
      <c r="F22" s="36" t="s">
        <v>11</v>
      </c>
      <c r="G22" s="34">
        <v>2.22</v>
      </c>
      <c r="H22" s="43">
        <f>J22-I22</f>
        <v>149743.44</v>
      </c>
      <c r="I22" s="65">
        <f>$I$12*0.15</f>
        <v>0</v>
      </c>
      <c r="J22" s="73">
        <f>G22*E3*12</f>
        <v>149743.44</v>
      </c>
    </row>
    <row r="23" spans="1:10" ht="15.75">
      <c r="A23" s="15"/>
      <c r="B23" s="135" t="s">
        <v>23</v>
      </c>
      <c r="C23" s="150"/>
      <c r="D23" s="150"/>
      <c r="E23" s="46" t="s">
        <v>12</v>
      </c>
      <c r="F23" s="30" t="s">
        <v>13</v>
      </c>
      <c r="G23" s="34">
        <v>0.05</v>
      </c>
      <c r="H23" s="43">
        <f>J23-I23</f>
        <v>452.7</v>
      </c>
      <c r="I23" s="65">
        <f>$I$12*0.003</f>
        <v>0</v>
      </c>
      <c r="J23" s="73">
        <v>452.7</v>
      </c>
    </row>
    <row r="24" spans="1:10" ht="33.75" customHeight="1">
      <c r="A24" s="12"/>
      <c r="B24" s="135" t="s">
        <v>34</v>
      </c>
      <c r="C24" s="135"/>
      <c r="D24" s="135"/>
      <c r="E24" s="41" t="s">
        <v>100</v>
      </c>
      <c r="F24" s="66" t="s">
        <v>36</v>
      </c>
      <c r="G24" s="34">
        <v>2.15</v>
      </c>
      <c r="H24" s="43">
        <f aca="true" t="shared" si="0" ref="H24:H29">ROUND(G24*$E$3*12,2)</f>
        <v>145021.8</v>
      </c>
      <c r="I24" s="65">
        <f>$I$12*0.19</f>
        <v>0</v>
      </c>
      <c r="J24" s="64">
        <f aca="true" t="shared" si="1" ref="J24:J29">SUM(H24:I24)</f>
        <v>145021.8</v>
      </c>
    </row>
    <row r="25" spans="1:10" ht="23.25" customHeight="1">
      <c r="A25" s="12"/>
      <c r="B25" s="134" t="s">
        <v>14</v>
      </c>
      <c r="C25" s="134"/>
      <c r="D25" s="134"/>
      <c r="E25" s="41" t="s">
        <v>101</v>
      </c>
      <c r="F25" s="66" t="s">
        <v>36</v>
      </c>
      <c r="G25" s="34">
        <v>0.53</v>
      </c>
      <c r="H25" s="42">
        <f t="shared" si="0"/>
        <v>35749.56</v>
      </c>
      <c r="I25" s="65">
        <v>0</v>
      </c>
      <c r="J25" s="64">
        <f t="shared" si="1"/>
        <v>35749.56</v>
      </c>
    </row>
    <row r="26" spans="1:10" ht="25.5" customHeight="1">
      <c r="A26" s="12"/>
      <c r="B26" s="139" t="s">
        <v>29</v>
      </c>
      <c r="C26" s="136"/>
      <c r="D26" s="133"/>
      <c r="E26" s="41" t="s">
        <v>101</v>
      </c>
      <c r="F26" s="66" t="s">
        <v>36</v>
      </c>
      <c r="G26" s="47">
        <f>3.52-G27-G28</f>
        <v>2.94</v>
      </c>
      <c r="H26" s="42">
        <f t="shared" si="0"/>
        <v>198308.88</v>
      </c>
      <c r="I26" s="67">
        <f>$I$12*0.18</f>
        <v>0</v>
      </c>
      <c r="J26" s="64">
        <f t="shared" si="1"/>
        <v>198308.88</v>
      </c>
    </row>
    <row r="27" spans="1:10" ht="24" customHeight="1">
      <c r="A27" s="15"/>
      <c r="B27" s="135" t="s">
        <v>56</v>
      </c>
      <c r="C27" s="135"/>
      <c r="D27" s="135"/>
      <c r="E27" s="41" t="s">
        <v>101</v>
      </c>
      <c r="F27" s="66" t="s">
        <v>36</v>
      </c>
      <c r="G27" s="47">
        <v>0.29</v>
      </c>
      <c r="H27" s="42">
        <f t="shared" si="0"/>
        <v>19561.08</v>
      </c>
      <c r="I27" s="67">
        <f>$I$12*0.02</f>
        <v>0</v>
      </c>
      <c r="J27" s="64">
        <f t="shared" si="1"/>
        <v>19561.08</v>
      </c>
    </row>
    <row r="28" spans="1:10" ht="15.75" customHeight="1">
      <c r="A28" s="12"/>
      <c r="B28" s="135" t="s">
        <v>57</v>
      </c>
      <c r="C28" s="135"/>
      <c r="D28" s="135"/>
      <c r="E28" s="44" t="s">
        <v>8</v>
      </c>
      <c r="F28" s="66" t="s">
        <v>36</v>
      </c>
      <c r="G28" s="47">
        <v>0.29</v>
      </c>
      <c r="H28" s="42">
        <f t="shared" si="0"/>
        <v>19561.08</v>
      </c>
      <c r="I28" s="67">
        <f>$I$12*0.02</f>
        <v>0</v>
      </c>
      <c r="J28" s="64">
        <f t="shared" si="1"/>
        <v>19561.08</v>
      </c>
    </row>
    <row r="29" spans="1:10" ht="15.75" customHeight="1">
      <c r="A29" s="12"/>
      <c r="B29" s="150" t="s">
        <v>18</v>
      </c>
      <c r="C29" s="150"/>
      <c r="D29" s="150"/>
      <c r="E29" s="44" t="s">
        <v>8</v>
      </c>
      <c r="F29" s="66" t="s">
        <v>36</v>
      </c>
      <c r="G29" s="30">
        <v>1.45</v>
      </c>
      <c r="H29" s="43">
        <f t="shared" si="0"/>
        <v>97805.4</v>
      </c>
      <c r="I29" s="65">
        <f>$I$12*0.1</f>
        <v>0</v>
      </c>
      <c r="J29" s="64">
        <f t="shared" si="1"/>
        <v>97805.4</v>
      </c>
    </row>
    <row r="30" spans="1:10" ht="15.75">
      <c r="A30" s="12"/>
      <c r="B30" s="151" t="s">
        <v>76</v>
      </c>
      <c r="C30" s="136"/>
      <c r="D30" s="133"/>
      <c r="E30" s="44" t="s">
        <v>8</v>
      </c>
      <c r="F30" s="66"/>
      <c r="G30" s="30"/>
      <c r="H30" s="42"/>
      <c r="I30" s="63"/>
      <c r="J30" s="74"/>
    </row>
    <row r="31" spans="1:10" ht="25.5">
      <c r="A31" s="12"/>
      <c r="B31" s="151" t="s">
        <v>77</v>
      </c>
      <c r="C31" s="136"/>
      <c r="D31" s="133"/>
      <c r="E31" s="41" t="s">
        <v>101</v>
      </c>
      <c r="F31" s="66"/>
      <c r="G31" s="30"/>
      <c r="H31" s="42"/>
      <c r="I31" s="63"/>
      <c r="J31" s="74"/>
    </row>
    <row r="32" spans="1:10" ht="15.75">
      <c r="A32" s="12"/>
      <c r="B32" s="143"/>
      <c r="C32" s="144"/>
      <c r="D32" s="145"/>
      <c r="E32" s="44"/>
      <c r="F32" s="66"/>
      <c r="G32" s="30"/>
      <c r="H32" s="42"/>
      <c r="I32" s="63"/>
      <c r="J32" s="74"/>
    </row>
    <row r="33" spans="1:10" ht="15.75">
      <c r="A33" s="12"/>
      <c r="B33" s="143"/>
      <c r="C33" s="144"/>
      <c r="D33" s="145"/>
      <c r="E33" s="44"/>
      <c r="F33" s="66"/>
      <c r="G33" s="30"/>
      <c r="H33" s="42"/>
      <c r="I33" s="63"/>
      <c r="J33" s="74"/>
    </row>
    <row r="34" spans="1:10" ht="15.75">
      <c r="A34" s="12"/>
      <c r="B34" s="146" t="s">
        <v>25</v>
      </c>
      <c r="C34" s="146"/>
      <c r="D34" s="146"/>
      <c r="E34" s="7"/>
      <c r="F34" s="66"/>
      <c r="G34" s="10">
        <f>SUM(G17:G29)</f>
        <v>13.039999999999996</v>
      </c>
      <c r="H34" s="20">
        <f>SUM(H17:H33)</f>
        <v>893205.0699999998</v>
      </c>
      <c r="I34" s="68">
        <f>SUM(I17:I33)</f>
        <v>0</v>
      </c>
      <c r="J34" s="20">
        <f>SUM(J17:J33)</f>
        <v>893205.0699999998</v>
      </c>
    </row>
    <row r="35" spans="1:10" ht="15.75" customHeight="1">
      <c r="A35" s="12">
        <v>3</v>
      </c>
      <c r="B35" s="147" t="s">
        <v>58</v>
      </c>
      <c r="C35" s="148"/>
      <c r="D35" s="148"/>
      <c r="E35" s="149"/>
      <c r="F35" s="66" t="s">
        <v>36</v>
      </c>
      <c r="G35" s="13">
        <v>1.45</v>
      </c>
      <c r="H35" s="17">
        <v>55691</v>
      </c>
      <c r="I35" s="69">
        <v>0</v>
      </c>
      <c r="J35" s="64">
        <f>H35+I35</f>
        <v>55691</v>
      </c>
    </row>
    <row r="36" spans="1:10" ht="18.75">
      <c r="A36" s="14"/>
      <c r="B36" s="138" t="s">
        <v>33</v>
      </c>
      <c r="C36" s="138"/>
      <c r="D36" s="138"/>
      <c r="E36" s="138"/>
      <c r="F36" s="138"/>
      <c r="G36" s="10">
        <f>SUM(G34:G35)</f>
        <v>14.489999999999995</v>
      </c>
      <c r="H36" s="21">
        <f>SUM(H34:H35)</f>
        <v>948896.0699999998</v>
      </c>
      <c r="I36" s="21">
        <f>SUM(I34:I35)</f>
        <v>0</v>
      </c>
      <c r="J36" s="68">
        <f>SUM(J34:J35)</f>
        <v>948896.0699999998</v>
      </c>
    </row>
    <row r="37" spans="1:10" ht="15.75">
      <c r="A37" s="12">
        <v>4</v>
      </c>
      <c r="B37" s="137" t="s">
        <v>59</v>
      </c>
      <c r="C37" s="137"/>
      <c r="D37" s="137"/>
      <c r="E37" s="137"/>
      <c r="F37" s="137"/>
      <c r="G37" s="13">
        <v>0.76</v>
      </c>
      <c r="H37" s="48">
        <v>390163</v>
      </c>
      <c r="I37" s="48">
        <v>0</v>
      </c>
      <c r="J37" s="70">
        <f>SUM(H37:I37)</f>
        <v>390163</v>
      </c>
    </row>
    <row r="38" spans="1:10" ht="18.75">
      <c r="A38" s="14"/>
      <c r="B38" s="138" t="s">
        <v>60</v>
      </c>
      <c r="C38" s="138"/>
      <c r="D38" s="138"/>
      <c r="E38" s="138"/>
      <c r="F38" s="138"/>
      <c r="G38" s="10">
        <f>SUM(G36:G37)</f>
        <v>15.249999999999995</v>
      </c>
      <c r="H38" s="21">
        <f>SUM(H36:H37)</f>
        <v>1339059.0699999998</v>
      </c>
      <c r="I38" s="21">
        <f>SUM(I36:I37)</f>
        <v>0</v>
      </c>
      <c r="J38" s="68">
        <f>SUM(J36:J37)</f>
        <v>1339059.0699999998</v>
      </c>
    </row>
    <row r="39" spans="1:10" ht="15.75">
      <c r="A39" s="12">
        <v>5</v>
      </c>
      <c r="B39" s="139" t="s">
        <v>108</v>
      </c>
      <c r="C39" s="140"/>
      <c r="D39" s="140"/>
      <c r="E39" s="140"/>
      <c r="F39" s="140"/>
      <c r="G39" s="141"/>
      <c r="H39" s="49">
        <f>H14-H38</f>
        <v>-336481.1499999998</v>
      </c>
      <c r="I39" s="43">
        <f>I14-I38</f>
        <v>0</v>
      </c>
      <c r="J39" s="70">
        <f>J14-J38</f>
        <v>-336481.1499999998</v>
      </c>
    </row>
    <row r="41" spans="2:5" ht="15.75">
      <c r="B41" s="24" t="s">
        <v>83</v>
      </c>
      <c r="C41" s="24"/>
      <c r="D41" s="24"/>
      <c r="E41" s="19"/>
    </row>
    <row r="42" spans="2:4" ht="15.75">
      <c r="B42" s="24"/>
      <c r="C42" s="24"/>
      <c r="D42" s="24"/>
    </row>
    <row r="43" spans="2:4" ht="15.75">
      <c r="B43" s="50" t="s">
        <v>106</v>
      </c>
      <c r="C43" s="50"/>
      <c r="D43" s="25"/>
    </row>
    <row r="44" spans="2:4" ht="15.75">
      <c r="B44" s="142" t="s">
        <v>61</v>
      </c>
      <c r="C44" s="142"/>
      <c r="D44" s="142"/>
    </row>
  </sheetData>
  <mergeCells count="36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37:F37"/>
    <mergeCell ref="B38:F38"/>
    <mergeCell ref="B39:G39"/>
    <mergeCell ref="B44:D44"/>
  </mergeCells>
  <printOptions/>
  <pageMargins left="0.1968503937007874" right="0" top="0" bottom="0" header="0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0">
      <selection activeCell="B19" sqref="B19:D19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6.25390625" style="0" customWidth="1"/>
    <col min="6" max="6" width="22.50390625" style="0" hidden="1" customWidth="1"/>
    <col min="7" max="7" width="11.875" style="0" customWidth="1"/>
    <col min="8" max="8" width="12.625" style="0" customWidth="1"/>
  </cols>
  <sheetData>
    <row r="1" spans="4:8" ht="66.75" customHeight="1">
      <c r="D1" s="166" t="s">
        <v>119</v>
      </c>
      <c r="E1" s="166"/>
      <c r="F1" s="166"/>
      <c r="G1" s="166"/>
      <c r="H1" s="166"/>
    </row>
    <row r="4" spans="1:8" ht="19.5">
      <c r="A4" s="158" t="s">
        <v>118</v>
      </c>
      <c r="B4" s="158"/>
      <c r="C4" s="158"/>
      <c r="D4" s="158"/>
      <c r="E4" s="158"/>
      <c r="F4" s="158"/>
      <c r="G4" s="158"/>
      <c r="H4" s="158"/>
    </row>
    <row r="6" ht="15.75">
      <c r="B6" t="s">
        <v>163</v>
      </c>
    </row>
    <row r="8" spans="2:6" ht="18.75">
      <c r="B8" s="1" t="s">
        <v>120</v>
      </c>
      <c r="C8" s="2"/>
      <c r="D8" s="2" t="s">
        <v>0</v>
      </c>
      <c r="E8" s="97">
        <v>5601.5</v>
      </c>
      <c r="F8" s="2"/>
    </row>
    <row r="9" spans="2:6" ht="15.75">
      <c r="B9" s="3" t="s">
        <v>1</v>
      </c>
      <c r="C9" s="16">
        <v>9</v>
      </c>
      <c r="D9" s="2" t="s">
        <v>2</v>
      </c>
      <c r="E9" s="4">
        <v>108</v>
      </c>
      <c r="F9" s="2"/>
    </row>
    <row r="10" spans="2:7" ht="15.75">
      <c r="B10" s="3" t="s">
        <v>3</v>
      </c>
      <c r="C10" s="4">
        <v>3</v>
      </c>
      <c r="D10" s="2" t="s">
        <v>4</v>
      </c>
      <c r="E10" s="2" t="s">
        <v>35</v>
      </c>
      <c r="F10" s="2"/>
      <c r="G10" s="2"/>
    </row>
    <row r="11" spans="2:7" ht="16.5" thickBot="1">
      <c r="B11" s="3"/>
      <c r="C11" s="4"/>
      <c r="D11" s="2" t="s">
        <v>5</v>
      </c>
      <c r="E11" s="2" t="s">
        <v>35</v>
      </c>
      <c r="F11" s="2"/>
      <c r="G11" s="2"/>
    </row>
    <row r="12" spans="1:8" ht="110.25">
      <c r="A12" s="59" t="s">
        <v>30</v>
      </c>
      <c r="B12" s="186" t="s">
        <v>48</v>
      </c>
      <c r="C12" s="187"/>
      <c r="D12" s="188"/>
      <c r="E12" s="26" t="s">
        <v>6</v>
      </c>
      <c r="F12" s="26" t="s">
        <v>7</v>
      </c>
      <c r="G12" s="96" t="s">
        <v>122</v>
      </c>
      <c r="H12" s="85" t="s">
        <v>123</v>
      </c>
    </row>
    <row r="13" spans="1:8" ht="25.5">
      <c r="A13" s="92">
        <v>1</v>
      </c>
      <c r="B13" s="160">
        <v>2</v>
      </c>
      <c r="C13" s="161"/>
      <c r="D13" s="162"/>
      <c r="E13" s="93">
        <v>3</v>
      </c>
      <c r="F13" s="93"/>
      <c r="G13" s="94">
        <v>4</v>
      </c>
      <c r="H13" s="95" t="s">
        <v>121</v>
      </c>
    </row>
    <row r="14" spans="1:8" ht="15.75" customHeight="1" hidden="1">
      <c r="A14" s="27">
        <v>1</v>
      </c>
      <c r="B14" s="155" t="s">
        <v>42</v>
      </c>
      <c r="C14" s="156"/>
      <c r="D14" s="156"/>
      <c r="E14" s="156"/>
      <c r="F14" s="157"/>
      <c r="G14" s="51"/>
      <c r="H14" s="29"/>
    </row>
    <row r="15" spans="1:8" ht="15.75" customHeight="1" hidden="1">
      <c r="A15" s="27"/>
      <c r="B15" s="189" t="s">
        <v>72</v>
      </c>
      <c r="C15" s="190"/>
      <c r="D15" s="190"/>
      <c r="E15" s="190"/>
      <c r="F15" s="191"/>
      <c r="G15" s="13">
        <f>G36</f>
        <v>15.36</v>
      </c>
      <c r="H15" s="29">
        <f>ROUND($E$8*G15*12,0)</f>
        <v>1032468</v>
      </c>
    </row>
    <row r="16" spans="1:8" ht="15.75" customHeight="1" hidden="1">
      <c r="A16" s="27"/>
      <c r="B16" s="147" t="s">
        <v>43</v>
      </c>
      <c r="C16" s="148"/>
      <c r="D16" s="148"/>
      <c r="E16" s="148"/>
      <c r="F16" s="149"/>
      <c r="G16" s="12">
        <v>0.78</v>
      </c>
      <c r="H16" s="29">
        <f>ROUND($E$8*G16*12,0)</f>
        <v>52430</v>
      </c>
    </row>
    <row r="17" spans="1:8" ht="15.75" customHeight="1">
      <c r="A17" s="27" t="s">
        <v>38</v>
      </c>
      <c r="B17" s="183" t="s">
        <v>31</v>
      </c>
      <c r="C17" s="184"/>
      <c r="D17" s="184"/>
      <c r="E17" s="184"/>
      <c r="F17" s="185"/>
      <c r="G17" s="30"/>
      <c r="H17" s="29"/>
    </row>
    <row r="18" spans="1:8" ht="18.75" customHeight="1">
      <c r="A18" s="27" t="s">
        <v>124</v>
      </c>
      <c r="B18" s="9" t="s">
        <v>32</v>
      </c>
      <c r="C18" s="9"/>
      <c r="D18" s="9"/>
      <c r="E18" s="9"/>
      <c r="F18" s="5"/>
      <c r="G18" s="31"/>
      <c r="H18" s="29"/>
    </row>
    <row r="19" spans="1:8" ht="31.5">
      <c r="A19" s="32"/>
      <c r="B19" s="177" t="s">
        <v>135</v>
      </c>
      <c r="C19" s="178"/>
      <c r="D19" s="179"/>
      <c r="E19" s="41" t="s">
        <v>27</v>
      </c>
      <c r="F19" s="33" t="s">
        <v>21</v>
      </c>
      <c r="G19" s="34">
        <v>1.29</v>
      </c>
      <c r="H19" s="35">
        <f>ROUND($E$8*G19*5,0)</f>
        <v>36130</v>
      </c>
    </row>
    <row r="20" spans="1:8" ht="16.5" customHeight="1">
      <c r="A20" s="32"/>
      <c r="B20" s="177" t="s">
        <v>15</v>
      </c>
      <c r="C20" s="178"/>
      <c r="D20" s="179"/>
      <c r="E20" s="41" t="s">
        <v>27</v>
      </c>
      <c r="F20" s="33" t="s">
        <v>16</v>
      </c>
      <c r="G20" s="34">
        <v>0.3</v>
      </c>
      <c r="H20" s="35">
        <f aca="true" t="shared" si="0" ref="H20:H37">ROUND($E$8*G20*5,0)</f>
        <v>8402</v>
      </c>
    </row>
    <row r="21" spans="1:8" ht="16.5" customHeight="1">
      <c r="A21" s="32"/>
      <c r="B21" s="139" t="s">
        <v>20</v>
      </c>
      <c r="C21" s="140"/>
      <c r="D21" s="141"/>
      <c r="E21" s="44" t="s">
        <v>54</v>
      </c>
      <c r="F21" s="36" t="s">
        <v>17</v>
      </c>
      <c r="G21" s="34">
        <v>1.05</v>
      </c>
      <c r="H21" s="35">
        <f t="shared" si="0"/>
        <v>29408</v>
      </c>
    </row>
    <row r="22" spans="1:8" ht="15.75" customHeight="1">
      <c r="A22" s="32"/>
      <c r="B22" s="180" t="s">
        <v>26</v>
      </c>
      <c r="C22" s="181"/>
      <c r="D22" s="182"/>
      <c r="E22" s="45" t="s">
        <v>8</v>
      </c>
      <c r="F22" s="37" t="s">
        <v>9</v>
      </c>
      <c r="G22" s="34">
        <v>0.54</v>
      </c>
      <c r="H22" s="35">
        <f t="shared" si="0"/>
        <v>15124</v>
      </c>
    </row>
    <row r="23" spans="1:8" ht="63.75">
      <c r="A23" s="32"/>
      <c r="B23" s="139" t="s">
        <v>24</v>
      </c>
      <c r="C23" s="140"/>
      <c r="D23" s="141"/>
      <c r="E23" s="44" t="s">
        <v>55</v>
      </c>
      <c r="F23" s="36" t="s">
        <v>22</v>
      </c>
      <c r="G23" s="34">
        <v>0.13</v>
      </c>
      <c r="H23" s="35">
        <f t="shared" si="0"/>
        <v>3641</v>
      </c>
    </row>
    <row r="24" spans="1:8" ht="28.5" customHeight="1">
      <c r="A24" s="32"/>
      <c r="B24" s="139" t="s">
        <v>10</v>
      </c>
      <c r="C24" s="140"/>
      <c r="D24" s="141"/>
      <c r="E24" s="44" t="s">
        <v>8</v>
      </c>
      <c r="F24" s="36" t="s">
        <v>11</v>
      </c>
      <c r="G24" s="34">
        <v>2.35</v>
      </c>
      <c r="H24" s="35">
        <f t="shared" si="0"/>
        <v>65818</v>
      </c>
    </row>
    <row r="25" spans="1:8" ht="16.5" customHeight="1">
      <c r="A25" s="32"/>
      <c r="B25" s="139" t="s">
        <v>23</v>
      </c>
      <c r="C25" s="140"/>
      <c r="D25" s="141"/>
      <c r="E25" s="46" t="s">
        <v>12</v>
      </c>
      <c r="F25" s="30" t="s">
        <v>44</v>
      </c>
      <c r="G25" s="34">
        <v>0.05</v>
      </c>
      <c r="H25" s="35">
        <f t="shared" si="0"/>
        <v>1400</v>
      </c>
    </row>
    <row r="26" spans="1:8" ht="51">
      <c r="A26" s="32"/>
      <c r="B26" s="139" t="s">
        <v>34</v>
      </c>
      <c r="C26" s="140"/>
      <c r="D26" s="141"/>
      <c r="E26" s="41" t="s">
        <v>132</v>
      </c>
      <c r="F26" s="36" t="s">
        <v>36</v>
      </c>
      <c r="G26" s="34">
        <v>1.63</v>
      </c>
      <c r="H26" s="35">
        <f t="shared" si="0"/>
        <v>45652</v>
      </c>
    </row>
    <row r="27" spans="1:8" ht="51">
      <c r="A27" s="32"/>
      <c r="B27" s="177" t="s">
        <v>14</v>
      </c>
      <c r="C27" s="178"/>
      <c r="D27" s="179"/>
      <c r="E27" s="41" t="s">
        <v>45</v>
      </c>
      <c r="F27" s="36" t="s">
        <v>36</v>
      </c>
      <c r="G27" s="34">
        <v>0.56</v>
      </c>
      <c r="H27" s="35">
        <f t="shared" si="0"/>
        <v>15684</v>
      </c>
    </row>
    <row r="28" spans="1:8" ht="30" customHeight="1">
      <c r="A28" s="32"/>
      <c r="B28" s="139" t="s">
        <v>29</v>
      </c>
      <c r="C28" s="140"/>
      <c r="D28" s="141"/>
      <c r="E28" s="41" t="s">
        <v>28</v>
      </c>
      <c r="F28" s="36" t="s">
        <v>36</v>
      </c>
      <c r="G28" s="34">
        <f>4.38-G29-G30</f>
        <v>3.7600000000000002</v>
      </c>
      <c r="H28" s="35">
        <f t="shared" si="0"/>
        <v>105308</v>
      </c>
    </row>
    <row r="29" spans="1:8" ht="16.5" customHeight="1">
      <c r="A29" s="32"/>
      <c r="B29" s="139" t="s">
        <v>73</v>
      </c>
      <c r="C29" s="140"/>
      <c r="D29" s="141"/>
      <c r="E29" s="44" t="s">
        <v>8</v>
      </c>
      <c r="F29" s="36" t="s">
        <v>36</v>
      </c>
      <c r="G29" s="34">
        <v>0.31</v>
      </c>
      <c r="H29" s="35">
        <f t="shared" si="0"/>
        <v>8682</v>
      </c>
    </row>
    <row r="30" spans="1:8" ht="16.5" customHeight="1">
      <c r="A30" s="32"/>
      <c r="B30" s="139" t="s">
        <v>57</v>
      </c>
      <c r="C30" s="140"/>
      <c r="D30" s="141"/>
      <c r="E30" s="44" t="s">
        <v>8</v>
      </c>
      <c r="F30" s="36" t="s">
        <v>36</v>
      </c>
      <c r="G30" s="34">
        <v>0.31</v>
      </c>
      <c r="H30" s="35">
        <f t="shared" si="0"/>
        <v>8682</v>
      </c>
    </row>
    <row r="31" spans="1:8" ht="27.75" customHeight="1">
      <c r="A31" s="32"/>
      <c r="B31" s="151" t="s">
        <v>18</v>
      </c>
      <c r="C31" s="136"/>
      <c r="D31" s="133"/>
      <c r="E31" s="41" t="s">
        <v>28</v>
      </c>
      <c r="F31" s="36" t="s">
        <v>36</v>
      </c>
      <c r="G31" s="34">
        <v>1.54</v>
      </c>
      <c r="H31" s="35">
        <f t="shared" si="0"/>
        <v>43132</v>
      </c>
    </row>
    <row r="32" spans="1:8" ht="15.75" hidden="1">
      <c r="A32" s="27"/>
      <c r="B32" s="151" t="s">
        <v>76</v>
      </c>
      <c r="C32" s="136"/>
      <c r="D32" s="133"/>
      <c r="E32" s="44" t="s">
        <v>8</v>
      </c>
      <c r="F32" s="36"/>
      <c r="G32" s="34"/>
      <c r="H32" s="35">
        <f t="shared" si="0"/>
        <v>0</v>
      </c>
    </row>
    <row r="33" spans="1:8" ht="27.75" customHeight="1" hidden="1">
      <c r="A33" s="27"/>
      <c r="B33" s="151" t="s">
        <v>77</v>
      </c>
      <c r="C33" s="136"/>
      <c r="D33" s="133"/>
      <c r="E33" s="41" t="s">
        <v>28</v>
      </c>
      <c r="F33" s="36"/>
      <c r="G33" s="34"/>
      <c r="H33" s="35">
        <f t="shared" si="0"/>
        <v>0</v>
      </c>
    </row>
    <row r="34" spans="1:8" ht="15.75">
      <c r="A34" s="32"/>
      <c r="B34" s="171" t="s">
        <v>25</v>
      </c>
      <c r="C34" s="172"/>
      <c r="D34" s="173"/>
      <c r="E34" s="7"/>
      <c r="F34" s="36"/>
      <c r="G34" s="10">
        <f>SUM(G19:G33)</f>
        <v>13.82</v>
      </c>
      <c r="H34" s="35">
        <f t="shared" si="0"/>
        <v>387064</v>
      </c>
    </row>
    <row r="35" spans="1:8" ht="14.25" customHeight="1">
      <c r="A35" s="27" t="s">
        <v>125</v>
      </c>
      <c r="B35" s="147" t="s">
        <v>113</v>
      </c>
      <c r="C35" s="148"/>
      <c r="D35" s="149"/>
      <c r="E35" s="90" t="s">
        <v>117</v>
      </c>
      <c r="F35" s="52" t="s">
        <v>97</v>
      </c>
      <c r="G35" s="13">
        <v>1.54</v>
      </c>
      <c r="H35" s="35">
        <f t="shared" si="0"/>
        <v>43132</v>
      </c>
    </row>
    <row r="36" spans="1:8" ht="16.5" customHeight="1">
      <c r="A36" s="27" t="s">
        <v>126</v>
      </c>
      <c r="B36" s="174" t="s">
        <v>74</v>
      </c>
      <c r="C36" s="175"/>
      <c r="D36" s="175"/>
      <c r="E36" s="175"/>
      <c r="F36" s="176"/>
      <c r="G36" s="10">
        <f>SUM(G34:G35)</f>
        <v>15.36</v>
      </c>
      <c r="H36" s="35">
        <f t="shared" si="0"/>
        <v>430195</v>
      </c>
    </row>
    <row r="37" spans="1:8" ht="16.5" customHeight="1" thickBot="1">
      <c r="A37" s="54" t="s">
        <v>39</v>
      </c>
      <c r="B37" s="168" t="s">
        <v>114</v>
      </c>
      <c r="C37" s="169"/>
      <c r="D37" s="170"/>
      <c r="E37" s="91" t="s">
        <v>117</v>
      </c>
      <c r="F37" s="55" t="s">
        <v>97</v>
      </c>
      <c r="G37" s="98">
        <v>0.8</v>
      </c>
      <c r="H37" s="99">
        <f t="shared" si="0"/>
        <v>22406</v>
      </c>
    </row>
    <row r="38" spans="2:5" ht="16.5" customHeight="1">
      <c r="B38" s="167" t="s">
        <v>131</v>
      </c>
      <c r="C38" s="167"/>
      <c r="D38" s="167"/>
      <c r="E38" s="167"/>
    </row>
    <row r="40" spans="2:6" ht="15.75">
      <c r="B40" s="19" t="s">
        <v>127</v>
      </c>
      <c r="C40" s="19"/>
      <c r="D40" s="19"/>
      <c r="E40" s="19" t="s">
        <v>128</v>
      </c>
      <c r="F40" s="19"/>
    </row>
    <row r="41" ht="14.25" customHeight="1"/>
    <row r="42" spans="2:5" ht="15.75">
      <c r="B42" s="19" t="s">
        <v>129</v>
      </c>
      <c r="C42" s="19"/>
      <c r="D42" s="19"/>
      <c r="E42" t="s">
        <v>130</v>
      </c>
    </row>
  </sheetData>
  <mergeCells count="28">
    <mergeCell ref="B12:D12"/>
    <mergeCell ref="B14:F14"/>
    <mergeCell ref="B15:F15"/>
    <mergeCell ref="B16:F16"/>
    <mergeCell ref="B17:F17"/>
    <mergeCell ref="B19:D19"/>
    <mergeCell ref="B20:D20"/>
    <mergeCell ref="B21:D21"/>
    <mergeCell ref="B22:D22"/>
    <mergeCell ref="B23:D23"/>
    <mergeCell ref="B24:D24"/>
    <mergeCell ref="B30:D30"/>
    <mergeCell ref="B31:D31"/>
    <mergeCell ref="B32:D32"/>
    <mergeCell ref="B25:D25"/>
    <mergeCell ref="B26:D26"/>
    <mergeCell ref="B27:D27"/>
    <mergeCell ref="B28:D28"/>
    <mergeCell ref="D1:H1"/>
    <mergeCell ref="A4:H4"/>
    <mergeCell ref="B13:D13"/>
    <mergeCell ref="B38:E38"/>
    <mergeCell ref="B37:D37"/>
    <mergeCell ref="B33:D33"/>
    <mergeCell ref="B34:D34"/>
    <mergeCell ref="B35:D35"/>
    <mergeCell ref="B36:F36"/>
    <mergeCell ref="B29:D29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4">
      <selection activeCell="E13" sqref="E13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6.25390625" style="0" customWidth="1"/>
    <col min="6" max="6" width="22.50390625" style="0" hidden="1" customWidth="1"/>
    <col min="7" max="7" width="11.875" style="0" customWidth="1"/>
    <col min="8" max="8" width="12.625" style="0" customWidth="1"/>
  </cols>
  <sheetData>
    <row r="1" spans="4:8" ht="66.75" customHeight="1">
      <c r="D1" s="166" t="s">
        <v>119</v>
      </c>
      <c r="E1" s="166"/>
      <c r="F1" s="166"/>
      <c r="G1" s="166"/>
      <c r="H1" s="166"/>
    </row>
    <row r="4" spans="1:8" ht="19.5">
      <c r="A4" s="158" t="s">
        <v>118</v>
      </c>
      <c r="B4" s="158"/>
      <c r="C4" s="158"/>
      <c r="D4" s="158"/>
      <c r="E4" s="158"/>
      <c r="F4" s="158"/>
      <c r="G4" s="158"/>
      <c r="H4" s="158"/>
    </row>
    <row r="5" spans="1:8" ht="15.75">
      <c r="A5" s="192" t="s">
        <v>168</v>
      </c>
      <c r="B5" s="192"/>
      <c r="C5" s="192"/>
      <c r="D5" s="192"/>
      <c r="E5" s="192"/>
      <c r="F5" s="192"/>
      <c r="G5" s="192"/>
      <c r="H5" s="192"/>
    </row>
    <row r="7" ht="15.75">
      <c r="B7" t="s">
        <v>167</v>
      </c>
    </row>
    <row r="9" spans="2:6" ht="18.75">
      <c r="B9" s="1" t="s">
        <v>120</v>
      </c>
      <c r="C9" s="2"/>
      <c r="D9" s="2" t="s">
        <v>0</v>
      </c>
      <c r="E9" s="97">
        <v>5601.5</v>
      </c>
      <c r="F9" s="2"/>
    </row>
    <row r="10" spans="2:6" ht="15.75">
      <c r="B10" s="3" t="s">
        <v>1</v>
      </c>
      <c r="C10" s="16">
        <v>9</v>
      </c>
      <c r="D10" s="2" t="s">
        <v>2</v>
      </c>
      <c r="E10" s="4">
        <v>108</v>
      </c>
      <c r="F10" s="2"/>
    </row>
    <row r="11" spans="2:7" ht="15.75">
      <c r="B11" s="3" t="s">
        <v>3</v>
      </c>
      <c r="C11" s="4">
        <v>3</v>
      </c>
      <c r="D11" s="2" t="s">
        <v>4</v>
      </c>
      <c r="E11" s="2" t="s">
        <v>35</v>
      </c>
      <c r="F11" s="2"/>
      <c r="G11" s="2"/>
    </row>
    <row r="12" spans="2:7" ht="16.5" thickBot="1">
      <c r="B12" s="3"/>
      <c r="C12" s="4"/>
      <c r="D12" s="2" t="s">
        <v>5</v>
      </c>
      <c r="E12" s="2" t="s">
        <v>35</v>
      </c>
      <c r="F12" s="2"/>
      <c r="G12" s="2"/>
    </row>
    <row r="13" spans="1:8" ht="110.25">
      <c r="A13" s="59" t="s">
        <v>30</v>
      </c>
      <c r="B13" s="186" t="s">
        <v>48</v>
      </c>
      <c r="C13" s="187"/>
      <c r="D13" s="188"/>
      <c r="E13" s="26" t="s">
        <v>6</v>
      </c>
      <c r="F13" s="26" t="s">
        <v>7</v>
      </c>
      <c r="G13" s="96" t="s">
        <v>164</v>
      </c>
      <c r="H13" s="85" t="s">
        <v>165</v>
      </c>
    </row>
    <row r="14" spans="1:8" ht="25.5">
      <c r="A14" s="92">
        <v>1</v>
      </c>
      <c r="B14" s="160">
        <v>2</v>
      </c>
      <c r="C14" s="161"/>
      <c r="D14" s="162"/>
      <c r="E14" s="93">
        <v>3</v>
      </c>
      <c r="F14" s="93"/>
      <c r="G14" s="94">
        <v>4</v>
      </c>
      <c r="H14" s="95" t="s">
        <v>166</v>
      </c>
    </row>
    <row r="15" spans="1:8" ht="15.75" customHeight="1" hidden="1">
      <c r="A15" s="27">
        <v>1</v>
      </c>
      <c r="B15" s="155" t="s">
        <v>42</v>
      </c>
      <c r="C15" s="156"/>
      <c r="D15" s="156"/>
      <c r="E15" s="156"/>
      <c r="F15" s="157"/>
      <c r="G15" s="51"/>
      <c r="H15" s="29"/>
    </row>
    <row r="16" spans="1:8" ht="15.75" customHeight="1" hidden="1">
      <c r="A16" s="27"/>
      <c r="B16" s="189" t="s">
        <v>72</v>
      </c>
      <c r="C16" s="190"/>
      <c r="D16" s="190"/>
      <c r="E16" s="190"/>
      <c r="F16" s="191"/>
      <c r="G16" s="13">
        <f>G37</f>
        <v>14.370000000000001</v>
      </c>
      <c r="H16" s="29">
        <f>ROUND($E$9*G16*12,0)</f>
        <v>965923</v>
      </c>
    </row>
    <row r="17" spans="1:8" ht="15.75" customHeight="1" hidden="1">
      <c r="A17" s="27"/>
      <c r="B17" s="147" t="s">
        <v>43</v>
      </c>
      <c r="C17" s="148"/>
      <c r="D17" s="148"/>
      <c r="E17" s="148"/>
      <c r="F17" s="149"/>
      <c r="G17" s="12">
        <v>0.78</v>
      </c>
      <c r="H17" s="29">
        <f>ROUND($E$9*G17*12,0)</f>
        <v>52430</v>
      </c>
    </row>
    <row r="18" spans="1:8" ht="15.75" customHeight="1">
      <c r="A18" s="27" t="s">
        <v>38</v>
      </c>
      <c r="B18" s="183" t="s">
        <v>31</v>
      </c>
      <c r="C18" s="184"/>
      <c r="D18" s="184"/>
      <c r="E18" s="184"/>
      <c r="F18" s="185"/>
      <c r="G18" s="30"/>
      <c r="H18" s="29"/>
    </row>
    <row r="19" spans="1:8" ht="18.75" customHeight="1">
      <c r="A19" s="27" t="s">
        <v>124</v>
      </c>
      <c r="B19" s="9" t="s">
        <v>32</v>
      </c>
      <c r="C19" s="9"/>
      <c r="D19" s="9"/>
      <c r="E19" s="9"/>
      <c r="F19" s="5"/>
      <c r="G19" s="31"/>
      <c r="H19" s="29"/>
    </row>
    <row r="20" spans="1:8" ht="31.5">
      <c r="A20" s="32"/>
      <c r="B20" s="177" t="s">
        <v>135</v>
      </c>
      <c r="C20" s="178"/>
      <c r="D20" s="179"/>
      <c r="E20" s="41" t="s">
        <v>27</v>
      </c>
      <c r="F20" s="33" t="s">
        <v>21</v>
      </c>
      <c r="G20" s="34">
        <v>1.29</v>
      </c>
      <c r="H20" s="35">
        <f>ROUND($E$9*G20*4,0)</f>
        <v>28904</v>
      </c>
    </row>
    <row r="21" spans="1:8" ht="16.5" customHeight="1">
      <c r="A21" s="32"/>
      <c r="B21" s="177" t="s">
        <v>15</v>
      </c>
      <c r="C21" s="178"/>
      <c r="D21" s="179"/>
      <c r="E21" s="41" t="s">
        <v>27</v>
      </c>
      <c r="F21" s="33" t="s">
        <v>16</v>
      </c>
      <c r="G21" s="34">
        <v>0.3</v>
      </c>
      <c r="H21" s="35">
        <f aca="true" t="shared" si="0" ref="H21:H38">ROUND($E$9*G21*4,0)</f>
        <v>6722</v>
      </c>
    </row>
    <row r="22" spans="1:8" ht="16.5" customHeight="1">
      <c r="A22" s="32"/>
      <c r="B22" s="139" t="s">
        <v>20</v>
      </c>
      <c r="C22" s="140"/>
      <c r="D22" s="141"/>
      <c r="E22" s="44" t="s">
        <v>54</v>
      </c>
      <c r="F22" s="36" t="s">
        <v>17</v>
      </c>
      <c r="G22" s="34">
        <v>0.06</v>
      </c>
      <c r="H22" s="35">
        <f t="shared" si="0"/>
        <v>1344</v>
      </c>
    </row>
    <row r="23" spans="1:8" ht="15.75" customHeight="1">
      <c r="A23" s="32"/>
      <c r="B23" s="180" t="s">
        <v>26</v>
      </c>
      <c r="C23" s="181"/>
      <c r="D23" s="182"/>
      <c r="E23" s="45" t="s">
        <v>8</v>
      </c>
      <c r="F23" s="37" t="s">
        <v>9</v>
      </c>
      <c r="G23" s="34">
        <v>0.54</v>
      </c>
      <c r="H23" s="35">
        <f t="shared" si="0"/>
        <v>12099</v>
      </c>
    </row>
    <row r="24" spans="1:8" ht="63.75">
      <c r="A24" s="32"/>
      <c r="B24" s="139" t="s">
        <v>24</v>
      </c>
      <c r="C24" s="140"/>
      <c r="D24" s="141"/>
      <c r="E24" s="44" t="s">
        <v>55</v>
      </c>
      <c r="F24" s="36" t="s">
        <v>22</v>
      </c>
      <c r="G24" s="34">
        <v>0.13</v>
      </c>
      <c r="H24" s="35">
        <f t="shared" si="0"/>
        <v>2913</v>
      </c>
    </row>
    <row r="25" spans="1:8" ht="28.5" customHeight="1">
      <c r="A25" s="32"/>
      <c r="B25" s="139" t="s">
        <v>10</v>
      </c>
      <c r="C25" s="140"/>
      <c r="D25" s="141"/>
      <c r="E25" s="44" t="s">
        <v>8</v>
      </c>
      <c r="F25" s="36" t="s">
        <v>11</v>
      </c>
      <c r="G25" s="34">
        <v>2.35</v>
      </c>
      <c r="H25" s="35">
        <f t="shared" si="0"/>
        <v>52654</v>
      </c>
    </row>
    <row r="26" spans="1:8" ht="16.5" customHeight="1">
      <c r="A26" s="32"/>
      <c r="B26" s="139" t="s">
        <v>23</v>
      </c>
      <c r="C26" s="140"/>
      <c r="D26" s="141"/>
      <c r="E26" s="46" t="s">
        <v>12</v>
      </c>
      <c r="F26" s="30" t="s">
        <v>44</v>
      </c>
      <c r="G26" s="34">
        <v>0.05</v>
      </c>
      <c r="H26" s="35">
        <f t="shared" si="0"/>
        <v>1120</v>
      </c>
    </row>
    <row r="27" spans="1:8" ht="51">
      <c r="A27" s="32"/>
      <c r="B27" s="139" t="s">
        <v>34</v>
      </c>
      <c r="C27" s="140"/>
      <c r="D27" s="141"/>
      <c r="E27" s="41" t="s">
        <v>132</v>
      </c>
      <c r="F27" s="36" t="s">
        <v>36</v>
      </c>
      <c r="G27" s="34">
        <v>1.63</v>
      </c>
      <c r="H27" s="35">
        <f t="shared" si="0"/>
        <v>36522</v>
      </c>
    </row>
    <row r="28" spans="1:8" ht="51">
      <c r="A28" s="32"/>
      <c r="B28" s="177" t="s">
        <v>14</v>
      </c>
      <c r="C28" s="178"/>
      <c r="D28" s="179"/>
      <c r="E28" s="41" t="s">
        <v>45</v>
      </c>
      <c r="F28" s="36" t="s">
        <v>36</v>
      </c>
      <c r="G28" s="34">
        <v>0.56</v>
      </c>
      <c r="H28" s="35">
        <f t="shared" si="0"/>
        <v>12547</v>
      </c>
    </row>
    <row r="29" spans="1:8" ht="30" customHeight="1">
      <c r="A29" s="32"/>
      <c r="B29" s="139" t="s">
        <v>29</v>
      </c>
      <c r="C29" s="140"/>
      <c r="D29" s="141"/>
      <c r="E29" s="41" t="s">
        <v>28</v>
      </c>
      <c r="F29" s="36" t="s">
        <v>36</v>
      </c>
      <c r="G29" s="34">
        <f>4.38-G30-G31</f>
        <v>3.7600000000000002</v>
      </c>
      <c r="H29" s="35">
        <f t="shared" si="0"/>
        <v>84247</v>
      </c>
    </row>
    <row r="30" spans="1:8" ht="16.5" customHeight="1">
      <c r="A30" s="32"/>
      <c r="B30" s="139" t="s">
        <v>73</v>
      </c>
      <c r="C30" s="140"/>
      <c r="D30" s="141"/>
      <c r="E30" s="44" t="s">
        <v>8</v>
      </c>
      <c r="F30" s="36" t="s">
        <v>36</v>
      </c>
      <c r="G30" s="34">
        <v>0.31</v>
      </c>
      <c r="H30" s="35">
        <f t="shared" si="0"/>
        <v>6946</v>
      </c>
    </row>
    <row r="31" spans="1:8" ht="16.5" customHeight="1">
      <c r="A31" s="32"/>
      <c r="B31" s="139" t="s">
        <v>57</v>
      </c>
      <c r="C31" s="140"/>
      <c r="D31" s="141"/>
      <c r="E31" s="44" t="s">
        <v>8</v>
      </c>
      <c r="F31" s="36" t="s">
        <v>36</v>
      </c>
      <c r="G31" s="34">
        <v>0.31</v>
      </c>
      <c r="H31" s="35">
        <f t="shared" si="0"/>
        <v>6946</v>
      </c>
    </row>
    <row r="32" spans="1:8" ht="27.75" customHeight="1">
      <c r="A32" s="32"/>
      <c r="B32" s="151" t="s">
        <v>18</v>
      </c>
      <c r="C32" s="136"/>
      <c r="D32" s="133"/>
      <c r="E32" s="41" t="s">
        <v>28</v>
      </c>
      <c r="F32" s="36" t="s">
        <v>36</v>
      </c>
      <c r="G32" s="34">
        <v>1.54</v>
      </c>
      <c r="H32" s="35">
        <f t="shared" si="0"/>
        <v>34505</v>
      </c>
    </row>
    <row r="33" spans="1:8" ht="15.75" hidden="1">
      <c r="A33" s="27"/>
      <c r="B33" s="151" t="s">
        <v>76</v>
      </c>
      <c r="C33" s="136"/>
      <c r="D33" s="133"/>
      <c r="E33" s="44" t="s">
        <v>8</v>
      </c>
      <c r="F33" s="36"/>
      <c r="G33" s="34"/>
      <c r="H33" s="35">
        <f t="shared" si="0"/>
        <v>0</v>
      </c>
    </row>
    <row r="34" spans="1:8" ht="27.75" customHeight="1" hidden="1">
      <c r="A34" s="27"/>
      <c r="B34" s="151" t="s">
        <v>77</v>
      </c>
      <c r="C34" s="136"/>
      <c r="D34" s="133"/>
      <c r="E34" s="41" t="s">
        <v>28</v>
      </c>
      <c r="F34" s="36"/>
      <c r="G34" s="34"/>
      <c r="H34" s="35">
        <f t="shared" si="0"/>
        <v>0</v>
      </c>
    </row>
    <row r="35" spans="1:8" ht="15.75">
      <c r="A35" s="32"/>
      <c r="B35" s="171" t="s">
        <v>25</v>
      </c>
      <c r="C35" s="172"/>
      <c r="D35" s="173"/>
      <c r="E35" s="7"/>
      <c r="F35" s="36"/>
      <c r="G35" s="10">
        <f>SUM(G20:G34)</f>
        <v>12.830000000000002</v>
      </c>
      <c r="H35" s="35">
        <f t="shared" si="0"/>
        <v>287469</v>
      </c>
    </row>
    <row r="36" spans="1:8" ht="14.25" customHeight="1">
      <c r="A36" s="27" t="s">
        <v>125</v>
      </c>
      <c r="B36" s="147" t="s">
        <v>113</v>
      </c>
      <c r="C36" s="148"/>
      <c r="D36" s="149"/>
      <c r="E36" s="90" t="s">
        <v>117</v>
      </c>
      <c r="F36" s="52" t="s">
        <v>97</v>
      </c>
      <c r="G36" s="13">
        <v>1.54</v>
      </c>
      <c r="H36" s="35">
        <f t="shared" si="0"/>
        <v>34505</v>
      </c>
    </row>
    <row r="37" spans="1:8" ht="16.5" customHeight="1">
      <c r="A37" s="27" t="s">
        <v>126</v>
      </c>
      <c r="B37" s="174" t="s">
        <v>74</v>
      </c>
      <c r="C37" s="175"/>
      <c r="D37" s="175"/>
      <c r="E37" s="175"/>
      <c r="F37" s="176"/>
      <c r="G37" s="10">
        <f>SUM(G35:G36)</f>
        <v>14.370000000000001</v>
      </c>
      <c r="H37" s="35">
        <f t="shared" si="0"/>
        <v>321974</v>
      </c>
    </row>
    <row r="38" spans="1:8" ht="16.5" customHeight="1" thickBot="1">
      <c r="A38" s="54" t="s">
        <v>39</v>
      </c>
      <c r="B38" s="168" t="s">
        <v>114</v>
      </c>
      <c r="C38" s="169"/>
      <c r="D38" s="170"/>
      <c r="E38" s="91" t="s">
        <v>117</v>
      </c>
      <c r="F38" s="55" t="s">
        <v>97</v>
      </c>
      <c r="G38" s="98">
        <v>0.8</v>
      </c>
      <c r="H38" s="99">
        <f t="shared" si="0"/>
        <v>17925</v>
      </c>
    </row>
    <row r="39" spans="2:5" ht="16.5" customHeight="1">
      <c r="B39" s="167" t="s">
        <v>131</v>
      </c>
      <c r="C39" s="167"/>
      <c r="D39" s="167"/>
      <c r="E39" s="167"/>
    </row>
    <row r="41" spans="2:6" ht="15.75">
      <c r="B41" s="19" t="s">
        <v>127</v>
      </c>
      <c r="C41" s="19"/>
      <c r="D41" s="19"/>
      <c r="E41" s="19" t="s">
        <v>128</v>
      </c>
      <c r="F41" s="19"/>
    </row>
    <row r="42" ht="14.25" customHeight="1"/>
    <row r="43" spans="2:5" ht="15.75">
      <c r="B43" s="19" t="s">
        <v>129</v>
      </c>
      <c r="C43" s="19"/>
      <c r="D43" s="19"/>
      <c r="E43" t="s">
        <v>130</v>
      </c>
    </row>
  </sheetData>
  <mergeCells count="29">
    <mergeCell ref="B36:D36"/>
    <mergeCell ref="B37:F37"/>
    <mergeCell ref="B38:D38"/>
    <mergeCell ref="B39:E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5:F15"/>
    <mergeCell ref="B16:F16"/>
    <mergeCell ref="B17:F17"/>
    <mergeCell ref="B18:F18"/>
    <mergeCell ref="D1:H1"/>
    <mergeCell ref="A4:H4"/>
    <mergeCell ref="B13:D13"/>
    <mergeCell ref="B14:D14"/>
    <mergeCell ref="A5:H5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G14" sqref="G1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5.50390625" style="0" customWidth="1"/>
    <col min="6" max="6" width="9.125" style="0" hidden="1" customWidth="1"/>
    <col min="7" max="7" width="8.625" style="0" customWidth="1"/>
    <col min="8" max="8" width="12.625" style="0" customWidth="1"/>
  </cols>
  <sheetData>
    <row r="1" spans="1:8" ht="72" customHeight="1">
      <c r="A1" s="158" t="s">
        <v>116</v>
      </c>
      <c r="B1" s="158"/>
      <c r="C1" s="158"/>
      <c r="D1" s="158"/>
      <c r="E1" s="158"/>
      <c r="F1" s="158"/>
      <c r="G1" s="158"/>
      <c r="H1" s="158"/>
    </row>
    <row r="2" spans="2:6" ht="18.75">
      <c r="B2" s="1" t="s">
        <v>37</v>
      </c>
      <c r="C2" s="2"/>
      <c r="D2" s="2" t="s">
        <v>0</v>
      </c>
      <c r="E2" s="38">
        <v>5621</v>
      </c>
      <c r="F2" s="2"/>
    </row>
    <row r="3" spans="2:6" ht="15.75">
      <c r="B3" s="3" t="s">
        <v>1</v>
      </c>
      <c r="C3" s="16">
        <v>9</v>
      </c>
      <c r="D3" s="2" t="s">
        <v>2</v>
      </c>
      <c r="E3" s="4">
        <v>108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35</v>
      </c>
      <c r="F4" s="2"/>
      <c r="G4" s="2"/>
    </row>
    <row r="5" spans="2:7" ht="16.5" thickBot="1">
      <c r="B5" s="3"/>
      <c r="C5" s="4"/>
      <c r="D5" s="2" t="s">
        <v>5</v>
      </c>
      <c r="E5" s="2" t="s">
        <v>35</v>
      </c>
      <c r="F5" s="2"/>
      <c r="G5" s="2"/>
    </row>
    <row r="6" spans="1:8" ht="51" customHeight="1" thickBot="1">
      <c r="A6" s="59" t="s">
        <v>30</v>
      </c>
      <c r="B6" s="186" t="s">
        <v>48</v>
      </c>
      <c r="C6" s="187"/>
      <c r="D6" s="188"/>
      <c r="E6" s="26" t="s">
        <v>6</v>
      </c>
      <c r="F6" s="26" t="s">
        <v>7</v>
      </c>
      <c r="G6" s="86" t="s">
        <v>75</v>
      </c>
      <c r="H6" s="85" t="s">
        <v>41</v>
      </c>
    </row>
    <row r="7" spans="1:8" ht="15.75" customHeight="1">
      <c r="A7" s="27">
        <v>1</v>
      </c>
      <c r="B7" s="200" t="s">
        <v>42</v>
      </c>
      <c r="C7" s="200"/>
      <c r="D7" s="200"/>
      <c r="E7" s="200"/>
      <c r="F7" s="200"/>
      <c r="G7" s="51"/>
      <c r="H7" s="29"/>
    </row>
    <row r="8" spans="1:8" ht="15.75" customHeight="1">
      <c r="A8" s="27"/>
      <c r="B8" s="153" t="s">
        <v>72</v>
      </c>
      <c r="C8" s="153"/>
      <c r="D8" s="153"/>
      <c r="E8" s="153"/>
      <c r="F8" s="153"/>
      <c r="G8" s="13">
        <f>G29</f>
        <v>14.920000000000002</v>
      </c>
      <c r="H8" s="29">
        <f>ROUND($E$2*G8*12,0)</f>
        <v>1006384</v>
      </c>
    </row>
    <row r="9" spans="1:8" ht="15.75" customHeight="1">
      <c r="A9" s="27"/>
      <c r="B9" s="201" t="s">
        <v>43</v>
      </c>
      <c r="C9" s="201"/>
      <c r="D9" s="201"/>
      <c r="E9" s="201"/>
      <c r="F9" s="201"/>
      <c r="G9" s="12">
        <v>0.78</v>
      </c>
      <c r="H9" s="29">
        <f>ROUND($E$2*G9*12,0)</f>
        <v>52613</v>
      </c>
    </row>
    <row r="10" spans="1:8" ht="15.75" customHeight="1">
      <c r="A10" s="27">
        <v>2</v>
      </c>
      <c r="B10" s="154" t="s">
        <v>31</v>
      </c>
      <c r="C10" s="154"/>
      <c r="D10" s="154"/>
      <c r="E10" s="154"/>
      <c r="F10" s="154"/>
      <c r="G10" s="30"/>
      <c r="H10" s="29"/>
    </row>
    <row r="11" spans="1:8" ht="18.75" customHeight="1">
      <c r="A11" s="27"/>
      <c r="B11" s="9" t="s">
        <v>32</v>
      </c>
      <c r="C11" s="9"/>
      <c r="D11" s="9"/>
      <c r="E11" s="9"/>
      <c r="F11" s="5"/>
      <c r="G11" s="31"/>
      <c r="H11" s="29"/>
    </row>
    <row r="12" spans="1:8" ht="27.75" customHeight="1">
      <c r="A12" s="32"/>
      <c r="B12" s="197" t="s">
        <v>107</v>
      </c>
      <c r="C12" s="197"/>
      <c r="D12" s="197"/>
      <c r="E12" s="41" t="s">
        <v>27</v>
      </c>
      <c r="F12" s="33" t="s">
        <v>21</v>
      </c>
      <c r="G12" s="34">
        <v>1.26</v>
      </c>
      <c r="H12" s="35">
        <f aca="true" t="shared" si="0" ref="H12:H29">ROUND($E$2*G12*12,0)</f>
        <v>84990</v>
      </c>
    </row>
    <row r="13" spans="1:8" ht="16.5" customHeight="1">
      <c r="A13" s="32"/>
      <c r="B13" s="197" t="s">
        <v>15</v>
      </c>
      <c r="C13" s="197"/>
      <c r="D13" s="197"/>
      <c r="E13" s="41" t="s">
        <v>27</v>
      </c>
      <c r="F13" s="33" t="s">
        <v>16</v>
      </c>
      <c r="G13" s="34">
        <v>0.29</v>
      </c>
      <c r="H13" s="35">
        <f t="shared" si="0"/>
        <v>19561</v>
      </c>
    </row>
    <row r="14" spans="1:8" ht="16.5" customHeight="1">
      <c r="A14" s="32"/>
      <c r="B14" s="195" t="s">
        <v>20</v>
      </c>
      <c r="C14" s="195"/>
      <c r="D14" s="195"/>
      <c r="E14" s="44" t="s">
        <v>54</v>
      </c>
      <c r="F14" s="36" t="s">
        <v>17</v>
      </c>
      <c r="G14" s="34">
        <v>1.02</v>
      </c>
      <c r="H14" s="35">
        <f t="shared" si="0"/>
        <v>68801</v>
      </c>
    </row>
    <row r="15" spans="1:8" ht="15.75" customHeight="1">
      <c r="A15" s="32"/>
      <c r="B15" s="198" t="s">
        <v>26</v>
      </c>
      <c r="C15" s="198"/>
      <c r="D15" s="198"/>
      <c r="E15" s="45" t="s">
        <v>8</v>
      </c>
      <c r="F15" s="37" t="s">
        <v>9</v>
      </c>
      <c r="G15" s="34">
        <v>0.53</v>
      </c>
      <c r="H15" s="35">
        <f t="shared" si="0"/>
        <v>35750</v>
      </c>
    </row>
    <row r="16" spans="1:8" ht="66.75" customHeight="1">
      <c r="A16" s="32"/>
      <c r="B16" s="195" t="s">
        <v>24</v>
      </c>
      <c r="C16" s="195"/>
      <c r="D16" s="195"/>
      <c r="E16" s="44" t="s">
        <v>55</v>
      </c>
      <c r="F16" s="36" t="s">
        <v>22</v>
      </c>
      <c r="G16" s="34">
        <v>0.12</v>
      </c>
      <c r="H16" s="35">
        <f t="shared" si="0"/>
        <v>8094</v>
      </c>
    </row>
    <row r="17" spans="1:8" ht="28.5" customHeight="1">
      <c r="A17" s="32"/>
      <c r="B17" s="195" t="s">
        <v>10</v>
      </c>
      <c r="C17" s="195"/>
      <c r="D17" s="195"/>
      <c r="E17" s="44" t="s">
        <v>8</v>
      </c>
      <c r="F17" s="36" t="s">
        <v>11</v>
      </c>
      <c r="G17" s="34">
        <v>2.29</v>
      </c>
      <c r="H17" s="35">
        <f t="shared" si="0"/>
        <v>154465</v>
      </c>
    </row>
    <row r="18" spans="1:8" ht="16.5" customHeight="1">
      <c r="A18" s="32"/>
      <c r="B18" s="195" t="s">
        <v>23</v>
      </c>
      <c r="C18" s="196"/>
      <c r="D18" s="196"/>
      <c r="E18" s="46" t="s">
        <v>12</v>
      </c>
      <c r="F18" s="30" t="s">
        <v>44</v>
      </c>
      <c r="G18" s="34">
        <v>0.05</v>
      </c>
      <c r="H18" s="35">
        <f t="shared" si="0"/>
        <v>3373</v>
      </c>
    </row>
    <row r="19" spans="1:8" ht="27" customHeight="1">
      <c r="A19" s="32"/>
      <c r="B19" s="195" t="s">
        <v>34</v>
      </c>
      <c r="C19" s="195"/>
      <c r="D19" s="195"/>
      <c r="E19" s="41" t="s">
        <v>28</v>
      </c>
      <c r="F19" s="36" t="s">
        <v>36</v>
      </c>
      <c r="G19" s="34">
        <v>2.21</v>
      </c>
      <c r="H19" s="35">
        <f t="shared" si="0"/>
        <v>149069</v>
      </c>
    </row>
    <row r="20" spans="1:8" ht="51">
      <c r="A20" s="32"/>
      <c r="B20" s="197" t="s">
        <v>14</v>
      </c>
      <c r="C20" s="197"/>
      <c r="D20" s="197"/>
      <c r="E20" s="41" t="s">
        <v>45</v>
      </c>
      <c r="F20" s="36" t="s">
        <v>36</v>
      </c>
      <c r="G20" s="34">
        <v>0.55</v>
      </c>
      <c r="H20" s="35">
        <f t="shared" si="0"/>
        <v>37099</v>
      </c>
    </row>
    <row r="21" spans="1:8" ht="30" customHeight="1">
      <c r="A21" s="32"/>
      <c r="B21" s="195" t="s">
        <v>29</v>
      </c>
      <c r="C21" s="196"/>
      <c r="D21" s="196"/>
      <c r="E21" s="41" t="s">
        <v>28</v>
      </c>
      <c r="F21" s="36" t="s">
        <v>36</v>
      </c>
      <c r="G21" s="34">
        <f>3.62-G22-G23</f>
        <v>3.0200000000000005</v>
      </c>
      <c r="H21" s="35">
        <f t="shared" si="0"/>
        <v>203705</v>
      </c>
    </row>
    <row r="22" spans="1:8" ht="16.5" customHeight="1">
      <c r="A22" s="32"/>
      <c r="B22" s="195" t="s">
        <v>73</v>
      </c>
      <c r="C22" s="195"/>
      <c r="D22" s="195"/>
      <c r="E22" s="44" t="s">
        <v>8</v>
      </c>
      <c r="F22" s="36" t="s">
        <v>36</v>
      </c>
      <c r="G22" s="34">
        <v>0.3</v>
      </c>
      <c r="H22" s="35">
        <f t="shared" si="0"/>
        <v>20236</v>
      </c>
    </row>
    <row r="23" spans="1:8" ht="16.5" customHeight="1">
      <c r="A23" s="32"/>
      <c r="B23" s="195" t="s">
        <v>57</v>
      </c>
      <c r="C23" s="195"/>
      <c r="D23" s="195"/>
      <c r="E23" s="44" t="s">
        <v>8</v>
      </c>
      <c r="F23" s="36" t="s">
        <v>36</v>
      </c>
      <c r="G23" s="34">
        <v>0.3</v>
      </c>
      <c r="H23" s="35">
        <f t="shared" si="0"/>
        <v>20236</v>
      </c>
    </row>
    <row r="24" spans="1:8" ht="27.75" customHeight="1">
      <c r="A24" s="32"/>
      <c r="B24" s="196" t="s">
        <v>18</v>
      </c>
      <c r="C24" s="196"/>
      <c r="D24" s="196"/>
      <c r="E24" s="41" t="s">
        <v>28</v>
      </c>
      <c r="F24" s="36" t="s">
        <v>36</v>
      </c>
      <c r="G24" s="34">
        <v>1.49</v>
      </c>
      <c r="H24" s="35">
        <f t="shared" si="0"/>
        <v>100503</v>
      </c>
    </row>
    <row r="25" spans="1:8" ht="15.75">
      <c r="A25" s="27"/>
      <c r="B25" s="151" t="s">
        <v>76</v>
      </c>
      <c r="C25" s="136"/>
      <c r="D25" s="133"/>
      <c r="E25" s="44" t="s">
        <v>8</v>
      </c>
      <c r="F25" s="36"/>
      <c r="G25" s="34"/>
      <c r="H25" s="35"/>
    </row>
    <row r="26" spans="1:8" ht="27.75" customHeight="1">
      <c r="A26" s="27"/>
      <c r="B26" s="151" t="s">
        <v>77</v>
      </c>
      <c r="C26" s="136"/>
      <c r="D26" s="133"/>
      <c r="E26" s="41" t="s">
        <v>28</v>
      </c>
      <c r="F26" s="36"/>
      <c r="G26" s="34"/>
      <c r="H26" s="35"/>
    </row>
    <row r="27" spans="1:8" ht="15.75">
      <c r="A27" s="32"/>
      <c r="B27" s="171" t="s">
        <v>25</v>
      </c>
      <c r="C27" s="172"/>
      <c r="D27" s="173"/>
      <c r="E27" s="7"/>
      <c r="F27" s="36"/>
      <c r="G27" s="10">
        <f>SUM(G12:G26)</f>
        <v>13.430000000000001</v>
      </c>
      <c r="H27" s="35">
        <f t="shared" si="0"/>
        <v>905880</v>
      </c>
    </row>
    <row r="28" spans="1:8" ht="14.25" customHeight="1">
      <c r="A28" s="27">
        <v>3</v>
      </c>
      <c r="B28" s="147" t="s">
        <v>113</v>
      </c>
      <c r="C28" s="148"/>
      <c r="D28" s="148"/>
      <c r="E28" s="90" t="s">
        <v>117</v>
      </c>
      <c r="F28" s="52" t="s">
        <v>97</v>
      </c>
      <c r="G28" s="13">
        <v>1.49</v>
      </c>
      <c r="H28" s="35">
        <f t="shared" si="0"/>
        <v>100503</v>
      </c>
    </row>
    <row r="29" spans="1:8" ht="16.5" customHeight="1">
      <c r="A29" s="27"/>
      <c r="B29" s="193" t="s">
        <v>74</v>
      </c>
      <c r="C29" s="193"/>
      <c r="D29" s="193"/>
      <c r="E29" s="193"/>
      <c r="F29" s="193"/>
      <c r="G29" s="10">
        <f>SUM(G27:G28)</f>
        <v>14.920000000000002</v>
      </c>
      <c r="H29" s="53">
        <f t="shared" si="0"/>
        <v>1006384</v>
      </c>
    </row>
    <row r="30" spans="1:8" ht="16.5" customHeight="1" thickBot="1">
      <c r="A30" s="54">
        <v>4</v>
      </c>
      <c r="B30" s="168" t="s">
        <v>114</v>
      </c>
      <c r="C30" s="169"/>
      <c r="D30" s="170"/>
      <c r="E30" s="91" t="s">
        <v>117</v>
      </c>
      <c r="F30" s="55" t="s">
        <v>97</v>
      </c>
      <c r="G30" s="56">
        <v>0.78</v>
      </c>
      <c r="H30" s="57">
        <f>ROUND($E$2*G30*12,0)</f>
        <v>52613</v>
      </c>
    </row>
    <row r="31" spans="1:6" ht="15.75">
      <c r="A31" s="87"/>
      <c r="B31" s="88"/>
      <c r="C31" s="88"/>
      <c r="D31" s="88"/>
      <c r="E31" s="88"/>
      <c r="F31" s="89"/>
    </row>
    <row r="32" spans="1:10" ht="18.75" customHeight="1">
      <c r="A32" s="87"/>
      <c r="B32" s="194" t="s">
        <v>109</v>
      </c>
      <c r="C32" s="194"/>
      <c r="D32" s="194"/>
      <c r="E32" s="194"/>
      <c r="F32" s="194"/>
      <c r="J32" s="71"/>
    </row>
    <row r="33" spans="1:8" ht="15.75" customHeight="1">
      <c r="A33" s="87"/>
      <c r="B33" s="199" t="s">
        <v>110</v>
      </c>
      <c r="C33" s="199"/>
      <c r="D33" s="199"/>
      <c r="E33" s="199"/>
      <c r="F33" s="199"/>
      <c r="H33" t="s">
        <v>102</v>
      </c>
    </row>
    <row r="34" spans="1:6" ht="15.75" customHeight="1">
      <c r="A34" s="87"/>
      <c r="B34" s="199" t="s">
        <v>111</v>
      </c>
      <c r="C34" s="199"/>
      <c r="D34" s="199"/>
      <c r="E34" s="199"/>
      <c r="F34" s="199"/>
    </row>
    <row r="36" spans="2:8" ht="15.75">
      <c r="B36" s="19" t="s">
        <v>112</v>
      </c>
      <c r="C36" s="19"/>
      <c r="D36" s="19"/>
      <c r="E36" s="19"/>
      <c r="F36" s="19"/>
      <c r="G36" s="19"/>
      <c r="H36" s="19"/>
    </row>
  </sheetData>
  <mergeCells count="28">
    <mergeCell ref="B33:F33"/>
    <mergeCell ref="B34:F34"/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6:D26"/>
    <mergeCell ref="B27:D27"/>
    <mergeCell ref="B22:D22"/>
    <mergeCell ref="B23:D23"/>
    <mergeCell ref="B24:D24"/>
    <mergeCell ref="B25:D25"/>
    <mergeCell ref="B29:F29"/>
    <mergeCell ref="B30:D30"/>
    <mergeCell ref="B32:F32"/>
    <mergeCell ref="B28:D28"/>
  </mergeCells>
  <printOptions horizontalCentered="1"/>
  <pageMargins left="0.1968503937007874" right="0" top="0" bottom="0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9">
      <selection activeCell="L11" sqref="L11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bestFit="1" customWidth="1"/>
    <col min="5" max="5" width="15.50390625" style="0" customWidth="1"/>
    <col min="6" max="6" width="22.50390625" style="0" hidden="1" customWidth="1"/>
    <col min="7" max="7" width="9.375" style="0" customWidth="1"/>
    <col min="8" max="8" width="9.875" style="0" customWidth="1"/>
    <col min="9" max="9" width="16.125" style="0" customWidth="1"/>
  </cols>
  <sheetData>
    <row r="1" spans="1:9" ht="72" customHeight="1">
      <c r="A1" s="158" t="s">
        <v>144</v>
      </c>
      <c r="B1" s="158"/>
      <c r="C1" s="158"/>
      <c r="D1" s="158"/>
      <c r="E1" s="158"/>
      <c r="F1" s="158"/>
      <c r="G1" s="158"/>
      <c r="H1" s="158"/>
      <c r="I1" s="158"/>
    </row>
    <row r="2" spans="1:9" ht="15.75" customHeight="1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5.75" customHeight="1">
      <c r="A3" s="100"/>
      <c r="B3" s="100"/>
      <c r="C3" s="100"/>
      <c r="D3" s="100"/>
      <c r="E3" s="100"/>
      <c r="F3" s="100"/>
      <c r="G3" s="100"/>
      <c r="H3" s="100"/>
      <c r="I3" s="100"/>
    </row>
    <row r="4" spans="2:6" ht="31.5">
      <c r="B4" s="1" t="s">
        <v>37</v>
      </c>
      <c r="C4" s="2"/>
      <c r="D4" s="102" t="s">
        <v>133</v>
      </c>
      <c r="E4" s="97">
        <v>5601.5</v>
      </c>
      <c r="F4" s="2"/>
    </row>
    <row r="5" spans="2:6" ht="15.75">
      <c r="B5" s="3" t="s">
        <v>1</v>
      </c>
      <c r="C5" s="16">
        <v>9</v>
      </c>
      <c r="D5" s="2" t="s">
        <v>2</v>
      </c>
      <c r="E5" s="4">
        <v>108</v>
      </c>
      <c r="F5" s="2"/>
    </row>
    <row r="6" spans="2:8" ht="15.75">
      <c r="B6" s="3" t="s">
        <v>3</v>
      </c>
      <c r="C6" s="4">
        <v>3</v>
      </c>
      <c r="D6" s="2" t="s">
        <v>4</v>
      </c>
      <c r="E6" s="2" t="s">
        <v>35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35</v>
      </c>
      <c r="F7" s="2"/>
      <c r="G7" s="2"/>
      <c r="H7" s="2"/>
    </row>
    <row r="8" spans="1:9" ht="88.5" customHeight="1">
      <c r="A8" s="59" t="s">
        <v>30</v>
      </c>
      <c r="B8" s="186" t="s">
        <v>48</v>
      </c>
      <c r="C8" s="187"/>
      <c r="D8" s="188"/>
      <c r="E8" s="26" t="s">
        <v>6</v>
      </c>
      <c r="F8" s="26" t="s">
        <v>7</v>
      </c>
      <c r="G8" s="111" t="s">
        <v>136</v>
      </c>
      <c r="H8" s="86" t="s">
        <v>137</v>
      </c>
      <c r="I8" s="85" t="s">
        <v>138</v>
      </c>
    </row>
    <row r="9" spans="1:9" ht="25.5">
      <c r="A9" s="92">
        <v>1</v>
      </c>
      <c r="B9" s="160">
        <v>2</v>
      </c>
      <c r="C9" s="161"/>
      <c r="D9" s="162"/>
      <c r="E9" s="93">
        <v>3</v>
      </c>
      <c r="F9" s="93"/>
      <c r="G9" s="113">
        <v>4</v>
      </c>
      <c r="H9" s="107">
        <v>5</v>
      </c>
      <c r="I9" s="108" t="s">
        <v>139</v>
      </c>
    </row>
    <row r="10" spans="1:9" ht="15.75" customHeight="1">
      <c r="A10" s="27">
        <v>1</v>
      </c>
      <c r="B10" s="200" t="s">
        <v>42</v>
      </c>
      <c r="C10" s="200"/>
      <c r="D10" s="200"/>
      <c r="E10" s="200"/>
      <c r="F10" s="200"/>
      <c r="G10" s="112"/>
      <c r="H10" s="103"/>
      <c r="I10" s="29"/>
    </row>
    <row r="11" spans="1:9" ht="31.5" customHeight="1">
      <c r="A11" s="27"/>
      <c r="B11" s="153" t="s">
        <v>72</v>
      </c>
      <c r="C11" s="153"/>
      <c r="D11" s="153"/>
      <c r="E11" s="153"/>
      <c r="F11" s="153"/>
      <c r="G11" s="13">
        <f>G32</f>
        <v>14.370000000000001</v>
      </c>
      <c r="H11" s="104">
        <f>H32</f>
        <v>15.3</v>
      </c>
      <c r="I11" s="35">
        <f>ROUND($E$4*G11*6,0)+ROUND($E$4*H11*6,0)</f>
        <v>997179</v>
      </c>
    </row>
    <row r="12" spans="1:9" ht="15.75" customHeight="1">
      <c r="A12" s="27"/>
      <c r="B12" s="201" t="s">
        <v>43</v>
      </c>
      <c r="C12" s="201"/>
      <c r="D12" s="201"/>
      <c r="E12" s="201"/>
      <c r="F12" s="201"/>
      <c r="G12" s="13">
        <f>G33</f>
        <v>0.8</v>
      </c>
      <c r="H12" s="109">
        <f>H33</f>
        <v>0.85</v>
      </c>
      <c r="I12" s="35">
        <f>ROUND($E$4*G12*6,0)+ROUND($E$4*H12*6,0)</f>
        <v>55455</v>
      </c>
    </row>
    <row r="13" spans="1:9" ht="15.75" customHeight="1">
      <c r="A13" s="27">
        <v>2</v>
      </c>
      <c r="B13" s="154" t="s">
        <v>31</v>
      </c>
      <c r="C13" s="154"/>
      <c r="D13" s="154"/>
      <c r="E13" s="154"/>
      <c r="F13" s="154"/>
      <c r="G13" s="30"/>
      <c r="H13" s="101"/>
      <c r="I13" s="35"/>
    </row>
    <row r="14" spans="1:9" ht="18.75" customHeight="1">
      <c r="A14" s="27"/>
      <c r="B14" s="9" t="s">
        <v>32</v>
      </c>
      <c r="C14" s="9"/>
      <c r="D14" s="9"/>
      <c r="E14" s="9"/>
      <c r="F14" s="5"/>
      <c r="G14" s="31"/>
      <c r="H14" s="105"/>
      <c r="I14" s="35"/>
    </row>
    <row r="15" spans="1:9" ht="27.75" customHeight="1">
      <c r="A15" s="32"/>
      <c r="B15" s="197" t="s">
        <v>135</v>
      </c>
      <c r="C15" s="197"/>
      <c r="D15" s="197"/>
      <c r="E15" s="41" t="s">
        <v>27</v>
      </c>
      <c r="F15" s="33" t="s">
        <v>21</v>
      </c>
      <c r="G15" s="34">
        <v>1.29</v>
      </c>
      <c r="H15" s="106">
        <v>1.37</v>
      </c>
      <c r="I15" s="35">
        <f aca="true" t="shared" si="0" ref="I15:I33">ROUND($E$4*G15*6,0)+ROUND($E$4*H15*6,0)</f>
        <v>89400</v>
      </c>
    </row>
    <row r="16" spans="1:9" ht="16.5" customHeight="1">
      <c r="A16" s="32"/>
      <c r="B16" s="197" t="s">
        <v>15</v>
      </c>
      <c r="C16" s="197"/>
      <c r="D16" s="197"/>
      <c r="E16" s="41" t="s">
        <v>27</v>
      </c>
      <c r="F16" s="33" t="s">
        <v>16</v>
      </c>
      <c r="G16" s="34">
        <v>0.3</v>
      </c>
      <c r="H16" s="106">
        <v>0.32</v>
      </c>
      <c r="I16" s="35">
        <f t="shared" si="0"/>
        <v>20838</v>
      </c>
    </row>
    <row r="17" spans="1:9" ht="16.5" customHeight="1">
      <c r="A17" s="32"/>
      <c r="B17" s="195" t="s">
        <v>134</v>
      </c>
      <c r="C17" s="195"/>
      <c r="D17" s="195"/>
      <c r="E17" s="44" t="s">
        <v>54</v>
      </c>
      <c r="F17" s="36" t="s">
        <v>17</v>
      </c>
      <c r="G17" s="34">
        <v>0.06</v>
      </c>
      <c r="H17" s="106">
        <v>0.06</v>
      </c>
      <c r="I17" s="35">
        <f t="shared" si="0"/>
        <v>4034</v>
      </c>
    </row>
    <row r="18" spans="1:9" ht="15.75" customHeight="1">
      <c r="A18" s="32"/>
      <c r="B18" s="198" t="s">
        <v>26</v>
      </c>
      <c r="C18" s="198"/>
      <c r="D18" s="198"/>
      <c r="E18" s="45" t="s">
        <v>8</v>
      </c>
      <c r="F18" s="37" t="s">
        <v>9</v>
      </c>
      <c r="G18" s="34">
        <v>0.54</v>
      </c>
      <c r="H18" s="106">
        <v>0.58</v>
      </c>
      <c r="I18" s="35">
        <f t="shared" si="0"/>
        <v>37642</v>
      </c>
    </row>
    <row r="19" spans="1:9" ht="70.5" customHeight="1">
      <c r="A19" s="32"/>
      <c r="B19" s="195" t="s">
        <v>24</v>
      </c>
      <c r="C19" s="195"/>
      <c r="D19" s="195"/>
      <c r="E19" s="44" t="s">
        <v>55</v>
      </c>
      <c r="F19" s="36" t="s">
        <v>22</v>
      </c>
      <c r="G19" s="34">
        <v>0.13</v>
      </c>
      <c r="H19" s="106">
        <v>0.14</v>
      </c>
      <c r="I19" s="35">
        <f>ROUND($E$4*G19*6,0)+ROUND($E$4*H19*6,0)</f>
        <v>9074</v>
      </c>
    </row>
    <row r="20" spans="1:9" ht="28.5" customHeight="1">
      <c r="A20" s="32"/>
      <c r="B20" s="195" t="s">
        <v>10</v>
      </c>
      <c r="C20" s="195"/>
      <c r="D20" s="195"/>
      <c r="E20" s="44" t="s">
        <v>8</v>
      </c>
      <c r="F20" s="36" t="s">
        <v>11</v>
      </c>
      <c r="G20" s="34">
        <v>2.35</v>
      </c>
      <c r="H20" s="106">
        <v>2.5</v>
      </c>
      <c r="I20" s="35">
        <f t="shared" si="0"/>
        <v>163004</v>
      </c>
    </row>
    <row r="21" spans="1:9" ht="16.5" customHeight="1">
      <c r="A21" s="32"/>
      <c r="B21" s="195" t="s">
        <v>23</v>
      </c>
      <c r="C21" s="196"/>
      <c r="D21" s="196"/>
      <c r="E21" s="46" t="s">
        <v>12</v>
      </c>
      <c r="F21" s="30" t="s">
        <v>44</v>
      </c>
      <c r="G21" s="34">
        <v>0.05</v>
      </c>
      <c r="H21" s="106">
        <v>0.05</v>
      </c>
      <c r="I21" s="35">
        <f t="shared" si="0"/>
        <v>3360</v>
      </c>
    </row>
    <row r="22" spans="1:9" ht="27" customHeight="1">
      <c r="A22" s="32"/>
      <c r="B22" s="195" t="s">
        <v>34</v>
      </c>
      <c r="C22" s="195"/>
      <c r="D22" s="195"/>
      <c r="E22" s="41" t="s">
        <v>28</v>
      </c>
      <c r="F22" s="36" t="s">
        <v>36</v>
      </c>
      <c r="G22" s="34">
        <v>1.63</v>
      </c>
      <c r="H22" s="106">
        <v>1.74</v>
      </c>
      <c r="I22" s="35">
        <f t="shared" si="0"/>
        <v>113263</v>
      </c>
    </row>
    <row r="23" spans="1:9" ht="51">
      <c r="A23" s="32"/>
      <c r="B23" s="197" t="s">
        <v>14</v>
      </c>
      <c r="C23" s="197"/>
      <c r="D23" s="197"/>
      <c r="E23" s="41" t="s">
        <v>45</v>
      </c>
      <c r="F23" s="36" t="s">
        <v>36</v>
      </c>
      <c r="G23" s="34">
        <v>0.56</v>
      </c>
      <c r="H23" s="106">
        <v>0.6</v>
      </c>
      <c r="I23" s="35">
        <f t="shared" si="0"/>
        <v>38986</v>
      </c>
    </row>
    <row r="24" spans="1:9" ht="30" customHeight="1">
      <c r="A24" s="32"/>
      <c r="B24" s="195" t="s">
        <v>29</v>
      </c>
      <c r="C24" s="196"/>
      <c r="D24" s="196"/>
      <c r="E24" s="41" t="s">
        <v>28</v>
      </c>
      <c r="F24" s="36" t="s">
        <v>36</v>
      </c>
      <c r="G24" s="34">
        <f>4.38-G25-G26</f>
        <v>3.7600000000000002</v>
      </c>
      <c r="H24" s="34">
        <f>4.66-H25-H26</f>
        <v>4</v>
      </c>
      <c r="I24" s="35">
        <f t="shared" si="0"/>
        <v>260806</v>
      </c>
    </row>
    <row r="25" spans="1:9" ht="16.5" customHeight="1">
      <c r="A25" s="32"/>
      <c r="B25" s="195" t="s">
        <v>73</v>
      </c>
      <c r="C25" s="195"/>
      <c r="D25" s="195"/>
      <c r="E25" s="44" t="s">
        <v>8</v>
      </c>
      <c r="F25" s="36" t="s">
        <v>36</v>
      </c>
      <c r="G25" s="34">
        <v>0.31</v>
      </c>
      <c r="H25" s="106">
        <v>0.33</v>
      </c>
      <c r="I25" s="35">
        <f t="shared" si="0"/>
        <v>21510</v>
      </c>
    </row>
    <row r="26" spans="1:9" ht="16.5" customHeight="1">
      <c r="A26" s="32"/>
      <c r="B26" s="195" t="s">
        <v>57</v>
      </c>
      <c r="C26" s="195"/>
      <c r="D26" s="195"/>
      <c r="E26" s="44" t="s">
        <v>8</v>
      </c>
      <c r="F26" s="36" t="s">
        <v>36</v>
      </c>
      <c r="G26" s="34">
        <v>0.31</v>
      </c>
      <c r="H26" s="106">
        <v>0.33</v>
      </c>
      <c r="I26" s="35">
        <f t="shared" si="0"/>
        <v>21510</v>
      </c>
    </row>
    <row r="27" spans="1:9" ht="27.75" customHeight="1">
      <c r="A27" s="32"/>
      <c r="B27" s="196" t="s">
        <v>140</v>
      </c>
      <c r="C27" s="196"/>
      <c r="D27" s="196"/>
      <c r="E27" s="41" t="s">
        <v>28</v>
      </c>
      <c r="F27" s="36" t="s">
        <v>36</v>
      </c>
      <c r="G27" s="34">
        <v>1.54</v>
      </c>
      <c r="H27" s="106">
        <v>1.64</v>
      </c>
      <c r="I27" s="35">
        <f t="shared" si="0"/>
        <v>106877</v>
      </c>
    </row>
    <row r="28" spans="1:9" ht="15.75" hidden="1">
      <c r="A28" s="27"/>
      <c r="B28" s="151" t="s">
        <v>76</v>
      </c>
      <c r="C28" s="136"/>
      <c r="D28" s="133"/>
      <c r="E28" s="44" t="s">
        <v>8</v>
      </c>
      <c r="F28" s="36"/>
      <c r="G28" s="34"/>
      <c r="H28" s="106"/>
      <c r="I28" s="35">
        <f t="shared" si="0"/>
        <v>0</v>
      </c>
    </row>
    <row r="29" spans="1:9" ht="27.75" customHeight="1" hidden="1">
      <c r="A29" s="27"/>
      <c r="B29" s="151" t="s">
        <v>77</v>
      </c>
      <c r="C29" s="136"/>
      <c r="D29" s="133"/>
      <c r="E29" s="41" t="s">
        <v>28</v>
      </c>
      <c r="F29" s="36"/>
      <c r="G29" s="34"/>
      <c r="H29" s="106"/>
      <c r="I29" s="35">
        <f t="shared" si="0"/>
        <v>0</v>
      </c>
    </row>
    <row r="30" spans="1:9" ht="15.75">
      <c r="A30" s="32"/>
      <c r="B30" s="171" t="s">
        <v>25</v>
      </c>
      <c r="C30" s="172"/>
      <c r="D30" s="173"/>
      <c r="E30" s="7"/>
      <c r="F30" s="36"/>
      <c r="G30" s="10">
        <f>SUM(G15:G29)</f>
        <v>12.830000000000002</v>
      </c>
      <c r="H30" s="10">
        <f>SUM(H15:H29)</f>
        <v>13.66</v>
      </c>
      <c r="I30" s="35">
        <f t="shared" si="0"/>
        <v>890302</v>
      </c>
    </row>
    <row r="31" spans="1:9" ht="14.25" customHeight="1">
      <c r="A31" s="27">
        <v>3</v>
      </c>
      <c r="B31" s="147" t="s">
        <v>113</v>
      </c>
      <c r="C31" s="148"/>
      <c r="D31" s="148"/>
      <c r="E31" s="90" t="s">
        <v>117</v>
      </c>
      <c r="F31" s="52" t="s">
        <v>97</v>
      </c>
      <c r="G31" s="13">
        <v>1.54</v>
      </c>
      <c r="H31" s="13">
        <v>1.64</v>
      </c>
      <c r="I31" s="35">
        <f t="shared" si="0"/>
        <v>106877</v>
      </c>
    </row>
    <row r="32" spans="1:9" ht="16.5" customHeight="1">
      <c r="A32" s="27"/>
      <c r="B32" s="193" t="s">
        <v>74</v>
      </c>
      <c r="C32" s="193"/>
      <c r="D32" s="193"/>
      <c r="E32" s="193"/>
      <c r="F32" s="193"/>
      <c r="G32" s="10">
        <f>SUM(G30:G31)</f>
        <v>14.370000000000001</v>
      </c>
      <c r="H32" s="10">
        <f>SUM(H30:H31)</f>
        <v>15.3</v>
      </c>
      <c r="I32" s="35">
        <f t="shared" si="0"/>
        <v>997179</v>
      </c>
    </row>
    <row r="33" spans="1:9" ht="16.5" customHeight="1" thickBot="1">
      <c r="A33" s="54">
        <v>4</v>
      </c>
      <c r="B33" s="168" t="s">
        <v>114</v>
      </c>
      <c r="C33" s="169"/>
      <c r="D33" s="170"/>
      <c r="E33" s="91" t="s">
        <v>117</v>
      </c>
      <c r="F33" s="55" t="s">
        <v>97</v>
      </c>
      <c r="G33" s="98">
        <v>0.8</v>
      </c>
      <c r="H33" s="98">
        <v>0.85</v>
      </c>
      <c r="I33" s="35">
        <f t="shared" si="0"/>
        <v>55455</v>
      </c>
    </row>
    <row r="34" spans="1:9" ht="47.25" customHeight="1">
      <c r="A34" s="167" t="s">
        <v>141</v>
      </c>
      <c r="B34" s="167"/>
      <c r="C34" s="167"/>
      <c r="D34" s="167"/>
      <c r="E34" s="167"/>
      <c r="F34" s="110"/>
      <c r="G34" s="110"/>
      <c r="H34" s="110"/>
      <c r="I34" s="110"/>
    </row>
    <row r="35" spans="1:11" ht="15.75" customHeight="1">
      <c r="A35" s="87"/>
      <c r="B35" s="194"/>
      <c r="C35" s="194"/>
      <c r="D35" s="194"/>
      <c r="E35" s="194"/>
      <c r="F35" s="194"/>
      <c r="K35" s="71"/>
    </row>
    <row r="36" spans="1:9" ht="15.75" customHeight="1">
      <c r="A36" s="87"/>
      <c r="B36" s="199"/>
      <c r="C36" s="199"/>
      <c r="D36" s="199"/>
      <c r="E36" s="199"/>
      <c r="F36" s="199"/>
      <c r="I36" t="s">
        <v>102</v>
      </c>
    </row>
    <row r="37" spans="1:6" ht="15.75" customHeight="1">
      <c r="A37" s="87"/>
      <c r="B37" s="199"/>
      <c r="C37" s="199"/>
      <c r="D37" s="199"/>
      <c r="E37" s="199"/>
      <c r="F37" s="199"/>
    </row>
    <row r="38" spans="2:9" ht="15.75">
      <c r="B38" s="19" t="s">
        <v>142</v>
      </c>
      <c r="C38" s="19"/>
      <c r="D38" s="19"/>
      <c r="E38" s="19"/>
      <c r="F38" s="19"/>
      <c r="G38" s="19"/>
      <c r="H38" s="19"/>
      <c r="I38" s="19"/>
    </row>
  </sheetData>
  <mergeCells count="30">
    <mergeCell ref="A1:I1"/>
    <mergeCell ref="B8:D8"/>
    <mergeCell ref="B10:F10"/>
    <mergeCell ref="B11:F11"/>
    <mergeCell ref="B9:D9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F32"/>
    <mergeCell ref="B33:D33"/>
    <mergeCell ref="B35:F35"/>
    <mergeCell ref="B36:F36"/>
    <mergeCell ref="B37:F37"/>
    <mergeCell ref="A34:E34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1">
      <selection activeCell="M8" sqref="M8"/>
    </sheetView>
  </sheetViews>
  <sheetFormatPr defaultColWidth="9.00390625" defaultRowHeight="15.75"/>
  <cols>
    <col min="1" max="1" width="3.75390625" style="0" customWidth="1"/>
    <col min="2" max="2" width="27.75390625" style="0" customWidth="1"/>
    <col min="3" max="3" width="3.50390625" style="0" customWidth="1"/>
    <col min="4" max="4" width="22.75390625" style="0" customWidth="1"/>
    <col min="5" max="5" width="30.75390625" style="0" customWidth="1"/>
    <col min="6" max="6" width="22.50390625" style="0" hidden="1" customWidth="1"/>
    <col min="7" max="7" width="9.375" style="0" hidden="1" customWidth="1"/>
    <col min="8" max="8" width="11.875" style="0" hidden="1" customWidth="1"/>
    <col min="9" max="9" width="11.625" style="0" hidden="1" customWidth="1"/>
    <col min="10" max="10" width="19.875" style="0" customWidth="1"/>
  </cols>
  <sheetData>
    <row r="1" spans="1:10" ht="123" customHeight="1">
      <c r="A1" s="205" t="s">
        <v>153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85.5" customHeight="1">
      <c r="A2" s="159" t="s">
        <v>154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2:10" ht="31.5">
      <c r="B3" s="1" t="s">
        <v>120</v>
      </c>
      <c r="C3" s="2"/>
      <c r="D3" s="102" t="s">
        <v>146</v>
      </c>
      <c r="E3" s="97">
        <v>5601.5</v>
      </c>
      <c r="F3" s="2"/>
      <c r="I3" s="39"/>
      <c r="J3" s="39"/>
    </row>
    <row r="4" spans="2:6" ht="15.75">
      <c r="B4" s="3" t="s">
        <v>1</v>
      </c>
      <c r="C4" s="16">
        <v>9</v>
      </c>
      <c r="D4" s="2" t="s">
        <v>2</v>
      </c>
      <c r="E4" s="4">
        <v>108</v>
      </c>
      <c r="F4" s="2"/>
    </row>
    <row r="5" spans="2:9" ht="15.75">
      <c r="B5" s="3" t="s">
        <v>3</v>
      </c>
      <c r="C5" s="4">
        <v>3</v>
      </c>
      <c r="D5" s="2" t="s">
        <v>4</v>
      </c>
      <c r="E5" s="2" t="s">
        <v>35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35</v>
      </c>
      <c r="F6" s="2"/>
      <c r="G6" s="2"/>
    </row>
    <row r="7" spans="1:10" ht="48.75" customHeight="1">
      <c r="A7" s="11" t="s">
        <v>30</v>
      </c>
      <c r="B7" s="160" t="s">
        <v>48</v>
      </c>
      <c r="C7" s="161"/>
      <c r="D7" s="162"/>
      <c r="E7" s="6" t="s">
        <v>6</v>
      </c>
      <c r="F7" s="6" t="s">
        <v>7</v>
      </c>
      <c r="G7" s="18" t="s">
        <v>155</v>
      </c>
      <c r="H7" s="163" t="s">
        <v>156</v>
      </c>
      <c r="I7" s="164"/>
      <c r="J7" s="165"/>
    </row>
    <row r="8" spans="1:10" ht="15.75">
      <c r="A8" s="12">
        <v>1</v>
      </c>
      <c r="B8" s="200"/>
      <c r="C8" s="200"/>
      <c r="D8" s="200"/>
      <c r="E8" s="200"/>
      <c r="F8" s="200"/>
      <c r="G8" s="60"/>
      <c r="H8" s="31" t="s">
        <v>79</v>
      </c>
      <c r="I8" s="62" t="s">
        <v>80</v>
      </c>
      <c r="J8" s="62" t="s">
        <v>81</v>
      </c>
    </row>
    <row r="9" spans="1:10" ht="15.75">
      <c r="A9" s="12"/>
      <c r="B9" s="200" t="s">
        <v>49</v>
      </c>
      <c r="C9" s="200"/>
      <c r="D9" s="200"/>
      <c r="E9" s="200"/>
      <c r="F9" s="200"/>
      <c r="G9" s="31"/>
      <c r="H9" s="31"/>
      <c r="I9" s="22"/>
      <c r="J9" s="62"/>
    </row>
    <row r="10" spans="1:10" ht="15.75">
      <c r="A10" s="40"/>
      <c r="B10" s="152" t="s">
        <v>50</v>
      </c>
      <c r="C10" s="152"/>
      <c r="D10" s="152"/>
      <c r="E10" s="152"/>
      <c r="F10" s="152"/>
      <c r="G10" s="8"/>
      <c r="H10" s="114">
        <v>421331.62</v>
      </c>
      <c r="I10" s="28"/>
      <c r="J10" s="115">
        <f>H10+I10</f>
        <v>421331.62</v>
      </c>
    </row>
    <row r="11" spans="1:10" ht="15.75">
      <c r="A11" s="40"/>
      <c r="B11" s="152" t="s">
        <v>51</v>
      </c>
      <c r="C11" s="152"/>
      <c r="D11" s="152"/>
      <c r="E11" s="152"/>
      <c r="F11" s="152"/>
      <c r="G11" s="8"/>
      <c r="H11" s="116">
        <v>20494.86</v>
      </c>
      <c r="I11" s="28"/>
      <c r="J11" s="115">
        <f>H11+I11</f>
        <v>20494.86</v>
      </c>
    </row>
    <row r="12" spans="1:10" ht="15.75">
      <c r="A12" s="12"/>
      <c r="B12" s="152" t="s">
        <v>52</v>
      </c>
      <c r="C12" s="152"/>
      <c r="D12" s="152"/>
      <c r="E12" s="152"/>
      <c r="F12" s="152"/>
      <c r="G12" s="8"/>
      <c r="H12" s="114"/>
      <c r="I12" s="28"/>
      <c r="J12" s="115">
        <f>H12+I12</f>
        <v>0</v>
      </c>
    </row>
    <row r="13" spans="1:10" ht="15.75">
      <c r="A13" s="12"/>
      <c r="B13" s="152" t="s">
        <v>147</v>
      </c>
      <c r="C13" s="152"/>
      <c r="D13" s="152"/>
      <c r="E13" s="152"/>
      <c r="F13" s="152"/>
      <c r="G13" s="8"/>
      <c r="H13" s="114">
        <v>1347928</v>
      </c>
      <c r="I13" s="63"/>
      <c r="J13" s="115">
        <f>H13+I13</f>
        <v>1347928</v>
      </c>
    </row>
    <row r="14" spans="1:10" ht="15.75">
      <c r="A14" s="12"/>
      <c r="B14" s="153" t="s">
        <v>53</v>
      </c>
      <c r="C14" s="153"/>
      <c r="D14" s="153"/>
      <c r="E14" s="153"/>
      <c r="F14" s="153"/>
      <c r="G14" s="8"/>
      <c r="H14" s="117">
        <f>SUM(H10:H13)</f>
        <v>1789754.48</v>
      </c>
      <c r="I14" s="64"/>
      <c r="J14" s="117">
        <f>SUM(J10:J13)</f>
        <v>1789754.48</v>
      </c>
    </row>
    <row r="15" spans="1:10" ht="18.75">
      <c r="A15" s="12">
        <v>2</v>
      </c>
      <c r="B15" s="154" t="s">
        <v>31</v>
      </c>
      <c r="C15" s="154"/>
      <c r="D15" s="154"/>
      <c r="E15" s="154"/>
      <c r="F15" s="154"/>
      <c r="G15" s="8"/>
      <c r="H15" s="114"/>
      <c r="I15" s="28"/>
      <c r="J15" s="118"/>
    </row>
    <row r="16" spans="1:10" ht="15.75">
      <c r="A16" s="12"/>
      <c r="B16" s="9" t="s">
        <v>32</v>
      </c>
      <c r="C16" s="9"/>
      <c r="D16" s="9"/>
      <c r="E16" s="9"/>
      <c r="F16" s="5"/>
      <c r="G16" s="61"/>
      <c r="H16" s="61"/>
      <c r="I16" s="58"/>
      <c r="J16" s="62"/>
    </row>
    <row r="17" spans="1:10" ht="30" customHeight="1">
      <c r="A17" s="15"/>
      <c r="B17" s="132" t="s">
        <v>148</v>
      </c>
      <c r="C17" s="132"/>
      <c r="D17" s="132"/>
      <c r="E17" s="41" t="s">
        <v>27</v>
      </c>
      <c r="F17" s="33" t="s">
        <v>21</v>
      </c>
      <c r="G17" s="34">
        <v>1.29</v>
      </c>
      <c r="H17" s="43">
        <f>ROUND(G17*$E$3*5,2)</f>
        <v>36129.68</v>
      </c>
      <c r="I17" s="119"/>
      <c r="J17" s="64">
        <f>SUM(H17:I17)</f>
        <v>36129.68</v>
      </c>
    </row>
    <row r="18" spans="1:10" ht="17.25" customHeight="1">
      <c r="A18" s="12"/>
      <c r="B18" s="134" t="s">
        <v>15</v>
      </c>
      <c r="C18" s="134"/>
      <c r="D18" s="134"/>
      <c r="E18" s="41" t="s">
        <v>27</v>
      </c>
      <c r="F18" s="33" t="s">
        <v>16</v>
      </c>
      <c r="G18" s="34">
        <v>0.3</v>
      </c>
      <c r="H18" s="43">
        <f>ROUND(G18*$E$3*5,2)</f>
        <v>8402.25</v>
      </c>
      <c r="I18" s="119"/>
      <c r="J18" s="64">
        <f>SUM(H18:I18)</f>
        <v>8402.25</v>
      </c>
    </row>
    <row r="19" spans="1:10" ht="18" customHeight="1">
      <c r="A19" s="12"/>
      <c r="B19" s="135" t="s">
        <v>20</v>
      </c>
      <c r="C19" s="135"/>
      <c r="D19" s="135"/>
      <c r="E19" s="44" t="s">
        <v>54</v>
      </c>
      <c r="F19" s="36" t="s">
        <v>17</v>
      </c>
      <c r="G19" s="34">
        <v>1.05</v>
      </c>
      <c r="H19" s="43">
        <v>8698.14</v>
      </c>
      <c r="I19" s="119"/>
      <c r="J19" s="73">
        <f>H19+I19</f>
        <v>8698.14</v>
      </c>
    </row>
    <row r="20" spans="1:10" ht="18" customHeight="1">
      <c r="A20" s="15"/>
      <c r="B20" s="132" t="s">
        <v>26</v>
      </c>
      <c r="C20" s="132"/>
      <c r="D20" s="132"/>
      <c r="E20" s="45" t="s">
        <v>8</v>
      </c>
      <c r="F20" s="37" t="s">
        <v>9</v>
      </c>
      <c r="G20" s="34">
        <v>0.54</v>
      </c>
      <c r="H20" s="43">
        <f>ROUND(G20*$E$3*5,2)</f>
        <v>15124.05</v>
      </c>
      <c r="I20" s="119"/>
      <c r="J20" s="64">
        <f>SUM(H20:I20)</f>
        <v>15124.05</v>
      </c>
    </row>
    <row r="21" spans="1:10" ht="52.5" customHeight="1">
      <c r="A21" s="12"/>
      <c r="B21" s="135" t="s">
        <v>24</v>
      </c>
      <c r="C21" s="135"/>
      <c r="D21" s="135"/>
      <c r="E21" s="44" t="s">
        <v>55</v>
      </c>
      <c r="F21" s="36" t="s">
        <v>22</v>
      </c>
      <c r="G21" s="34">
        <v>0.13</v>
      </c>
      <c r="H21" s="43">
        <v>900</v>
      </c>
      <c r="I21" s="119"/>
      <c r="J21" s="73">
        <f>H21+I21</f>
        <v>900</v>
      </c>
    </row>
    <row r="22" spans="1:10" ht="18" customHeight="1">
      <c r="A22" s="15"/>
      <c r="B22" s="135" t="s">
        <v>10</v>
      </c>
      <c r="C22" s="135"/>
      <c r="D22" s="135"/>
      <c r="E22" s="44" t="s">
        <v>8</v>
      </c>
      <c r="F22" s="36" t="s">
        <v>11</v>
      </c>
      <c r="G22" s="34">
        <v>2.35</v>
      </c>
      <c r="H22" s="43">
        <v>60023.79</v>
      </c>
      <c r="I22" s="43"/>
      <c r="J22" s="64">
        <f>H22+I22</f>
        <v>60023.79</v>
      </c>
    </row>
    <row r="23" spans="1:10" ht="18.75" customHeight="1">
      <c r="A23" s="15"/>
      <c r="B23" s="135" t="s">
        <v>23</v>
      </c>
      <c r="C23" s="150"/>
      <c r="D23" s="150"/>
      <c r="E23" s="46" t="s">
        <v>12</v>
      </c>
      <c r="F23" s="30" t="s">
        <v>13</v>
      </c>
      <c r="G23" s="34">
        <v>0.05</v>
      </c>
      <c r="H23" s="43"/>
      <c r="I23" s="119"/>
      <c r="J23" s="73">
        <f>H23+I23</f>
        <v>0</v>
      </c>
    </row>
    <row r="24" spans="1:10" ht="26.25" customHeight="1">
      <c r="A24" s="12"/>
      <c r="B24" s="135" t="s">
        <v>34</v>
      </c>
      <c r="C24" s="135"/>
      <c r="D24" s="135"/>
      <c r="E24" s="41" t="s">
        <v>28</v>
      </c>
      <c r="F24" s="66" t="s">
        <v>36</v>
      </c>
      <c r="G24" s="34">
        <v>1.63</v>
      </c>
      <c r="H24" s="43">
        <f>ROUND(G24*$E$3*5,2)</f>
        <v>45652.23</v>
      </c>
      <c r="I24" s="119"/>
      <c r="J24" s="64">
        <f aca="true" t="shared" si="0" ref="J24:J29">SUM(H24:I24)</f>
        <v>45652.23</v>
      </c>
    </row>
    <row r="25" spans="1:10" ht="26.25" customHeight="1">
      <c r="A25" s="12"/>
      <c r="B25" s="134" t="s">
        <v>14</v>
      </c>
      <c r="C25" s="134"/>
      <c r="D25" s="134"/>
      <c r="E25" s="120" t="s">
        <v>149</v>
      </c>
      <c r="F25" s="66" t="s">
        <v>36</v>
      </c>
      <c r="G25" s="34">
        <v>0.56</v>
      </c>
      <c r="H25" s="42">
        <v>15738.8</v>
      </c>
      <c r="I25" s="119"/>
      <c r="J25" s="64">
        <f>H25+I25</f>
        <v>15738.8</v>
      </c>
    </row>
    <row r="26" spans="1:10" ht="30" customHeight="1">
      <c r="A26" s="12"/>
      <c r="B26" s="139" t="s">
        <v>29</v>
      </c>
      <c r="C26" s="136"/>
      <c r="D26" s="133"/>
      <c r="E26" s="41" t="s">
        <v>28</v>
      </c>
      <c r="F26" s="66" t="s">
        <v>36</v>
      </c>
      <c r="G26" s="34">
        <f>4.38-G27-G28</f>
        <v>3.7600000000000002</v>
      </c>
      <c r="H26" s="42">
        <f>ROUND(G26*$E$3*5,2)</f>
        <v>105308.2</v>
      </c>
      <c r="I26" s="121"/>
      <c r="J26" s="64">
        <f t="shared" si="0"/>
        <v>105308.2</v>
      </c>
    </row>
    <row r="27" spans="1:10" ht="26.25" customHeight="1">
      <c r="A27" s="15"/>
      <c r="B27" s="135" t="s">
        <v>56</v>
      </c>
      <c r="C27" s="135"/>
      <c r="D27" s="135"/>
      <c r="E27" s="41" t="s">
        <v>28</v>
      </c>
      <c r="F27" s="66" t="s">
        <v>36</v>
      </c>
      <c r="G27" s="34">
        <v>0.31</v>
      </c>
      <c r="H27" s="42">
        <f>ROUND(G27*$E$3*5,2)</f>
        <v>8682.33</v>
      </c>
      <c r="I27" s="121"/>
      <c r="J27" s="64">
        <f t="shared" si="0"/>
        <v>8682.33</v>
      </c>
    </row>
    <row r="28" spans="1:10" ht="18" customHeight="1">
      <c r="A28" s="12"/>
      <c r="B28" s="135" t="s">
        <v>57</v>
      </c>
      <c r="C28" s="135"/>
      <c r="D28" s="135"/>
      <c r="E28" s="44" t="s">
        <v>8</v>
      </c>
      <c r="F28" s="66" t="s">
        <v>36</v>
      </c>
      <c r="G28" s="34">
        <v>0.31</v>
      </c>
      <c r="H28" s="42">
        <f>ROUND(G28*$E$3*5,2)</f>
        <v>8682.33</v>
      </c>
      <c r="I28" s="121"/>
      <c r="J28" s="64">
        <f t="shared" si="0"/>
        <v>8682.33</v>
      </c>
    </row>
    <row r="29" spans="1:10" ht="29.25" customHeight="1">
      <c r="A29" s="12"/>
      <c r="B29" s="150" t="s">
        <v>18</v>
      </c>
      <c r="C29" s="150"/>
      <c r="D29" s="150"/>
      <c r="E29" s="41" t="s">
        <v>28</v>
      </c>
      <c r="F29" s="66" t="s">
        <v>36</v>
      </c>
      <c r="G29" s="34">
        <v>1.54</v>
      </c>
      <c r="H29" s="43">
        <f>ROUND(G29*$E$3*5,2)</f>
        <v>43131.55</v>
      </c>
      <c r="I29" s="119"/>
      <c r="J29" s="64">
        <f t="shared" si="0"/>
        <v>43131.55</v>
      </c>
    </row>
    <row r="30" spans="1:10" ht="18" customHeight="1" hidden="1">
      <c r="A30" s="12"/>
      <c r="B30" s="151" t="s">
        <v>76</v>
      </c>
      <c r="C30" s="136"/>
      <c r="D30" s="133"/>
      <c r="E30" s="44" t="s">
        <v>8</v>
      </c>
      <c r="F30" s="66"/>
      <c r="G30" s="30"/>
      <c r="H30" s="42"/>
      <c r="I30" s="63"/>
      <c r="J30" s="122"/>
    </row>
    <row r="31" spans="1:10" ht="26.25" customHeight="1" hidden="1">
      <c r="A31" s="12"/>
      <c r="B31" s="151" t="s">
        <v>77</v>
      </c>
      <c r="C31" s="136"/>
      <c r="D31" s="133"/>
      <c r="E31" s="41" t="s">
        <v>28</v>
      </c>
      <c r="F31" s="66"/>
      <c r="G31" s="30"/>
      <c r="H31" s="42"/>
      <c r="I31" s="63"/>
      <c r="J31" s="122"/>
    </row>
    <row r="32" spans="1:10" ht="15.75" hidden="1">
      <c r="A32" s="12"/>
      <c r="B32" s="143"/>
      <c r="C32" s="144"/>
      <c r="D32" s="145"/>
      <c r="E32" s="44"/>
      <c r="F32" s="66"/>
      <c r="G32" s="30"/>
      <c r="H32" s="42"/>
      <c r="I32" s="63"/>
      <c r="J32" s="122"/>
    </row>
    <row r="33" spans="1:10" ht="15.75">
      <c r="A33" s="12"/>
      <c r="B33" s="143"/>
      <c r="C33" s="144"/>
      <c r="D33" s="145"/>
      <c r="E33" s="44"/>
      <c r="F33" s="66"/>
      <c r="G33" s="30"/>
      <c r="H33" s="42"/>
      <c r="I33" s="63"/>
      <c r="J33" s="122"/>
    </row>
    <row r="34" spans="1:10" ht="19.5" customHeight="1">
      <c r="A34" s="12"/>
      <c r="B34" s="146" t="s">
        <v>25</v>
      </c>
      <c r="C34" s="146"/>
      <c r="D34" s="146"/>
      <c r="E34" s="7"/>
      <c r="F34" s="123"/>
      <c r="G34" s="10">
        <f>SUM(G17:G29)</f>
        <v>13.82</v>
      </c>
      <c r="H34" s="68">
        <f>SUM(H17:H33)</f>
        <v>356473.35000000003</v>
      </c>
      <c r="I34" s="68"/>
      <c r="J34" s="68">
        <f>SUM(J17:J33)</f>
        <v>356473.35000000003</v>
      </c>
    </row>
    <row r="35" spans="1:10" ht="19.5" customHeight="1" hidden="1">
      <c r="A35" s="12"/>
      <c r="B35" s="7"/>
      <c r="C35" s="7"/>
      <c r="D35" s="7"/>
      <c r="E35" s="7"/>
      <c r="F35" s="123"/>
      <c r="G35" s="10"/>
      <c r="H35" s="68"/>
      <c r="I35" s="68"/>
      <c r="J35" s="68"/>
    </row>
    <row r="36" spans="1:10" ht="19.5" customHeight="1" hidden="1">
      <c r="A36" s="12"/>
      <c r="B36" s="7"/>
      <c r="C36" s="7"/>
      <c r="D36" s="7"/>
      <c r="E36" s="7"/>
      <c r="F36" s="123"/>
      <c r="G36" s="10"/>
      <c r="H36" s="68"/>
      <c r="I36" s="68"/>
      <c r="J36" s="68"/>
    </row>
    <row r="37" spans="1:10" ht="19.5" customHeight="1" hidden="1">
      <c r="A37" s="12"/>
      <c r="B37" s="7"/>
      <c r="C37" s="7"/>
      <c r="D37" s="7"/>
      <c r="E37" s="7"/>
      <c r="F37" s="123"/>
      <c r="G37" s="10"/>
      <c r="H37" s="68"/>
      <c r="I37" s="68"/>
      <c r="J37" s="68"/>
    </row>
    <row r="38" spans="1:10" ht="18.75" customHeight="1">
      <c r="A38" s="12">
        <v>3</v>
      </c>
      <c r="B38" s="147" t="s">
        <v>150</v>
      </c>
      <c r="C38" s="148"/>
      <c r="D38" s="149"/>
      <c r="E38" s="124" t="s">
        <v>117</v>
      </c>
      <c r="F38" s="123" t="s">
        <v>36</v>
      </c>
      <c r="G38" s="13">
        <f>H38/E3/1</f>
        <v>26.14424707667589</v>
      </c>
      <c r="H38" s="125">
        <v>146447</v>
      </c>
      <c r="I38" s="126"/>
      <c r="J38" s="70">
        <f>H38+I38</f>
        <v>146447</v>
      </c>
    </row>
    <row r="39" spans="1:10" ht="18" customHeight="1">
      <c r="A39" s="14"/>
      <c r="B39" s="138" t="s">
        <v>33</v>
      </c>
      <c r="C39" s="138"/>
      <c r="D39" s="138"/>
      <c r="E39" s="138"/>
      <c r="F39" s="138"/>
      <c r="G39" s="10">
        <f>SUM(G34:G38)</f>
        <v>39.96424707667589</v>
      </c>
      <c r="H39" s="21">
        <f>SUM(H34:H38)</f>
        <v>502920.35000000003</v>
      </c>
      <c r="I39" s="21"/>
      <c r="J39" s="21">
        <f>J34+J38</f>
        <v>502920.35000000003</v>
      </c>
    </row>
    <row r="40" spans="1:10" ht="15.75">
      <c r="A40" s="12">
        <v>4</v>
      </c>
      <c r="B40" s="202" t="s">
        <v>151</v>
      </c>
      <c r="C40" s="203"/>
      <c r="D40" s="204"/>
      <c r="E40" s="124" t="s">
        <v>117</v>
      </c>
      <c r="F40" s="127"/>
      <c r="G40" s="128"/>
      <c r="H40" s="48">
        <v>1422021</v>
      </c>
      <c r="I40" s="48"/>
      <c r="J40" s="70">
        <f>SUM(H40:I40)</f>
        <v>1422021</v>
      </c>
    </row>
    <row r="41" spans="1:10" ht="16.5" customHeight="1">
      <c r="A41" s="14"/>
      <c r="B41" s="138" t="s">
        <v>60</v>
      </c>
      <c r="C41" s="138"/>
      <c r="D41" s="138"/>
      <c r="E41" s="138"/>
      <c r="F41" s="138"/>
      <c r="G41" s="10">
        <f>SUM(G39:G40)</f>
        <v>39.96424707667589</v>
      </c>
      <c r="H41" s="21">
        <f>SUM(H39:H40)</f>
        <v>1924941.35</v>
      </c>
      <c r="I41" s="21"/>
      <c r="J41" s="21">
        <f>SUM(J39:J40)</f>
        <v>1924941.35</v>
      </c>
    </row>
    <row r="42" spans="1:10" ht="15.75">
      <c r="A42" s="12">
        <v>5</v>
      </c>
      <c r="B42" s="195" t="s">
        <v>157</v>
      </c>
      <c r="C42" s="195"/>
      <c r="D42" s="195"/>
      <c r="E42" s="195"/>
      <c r="F42" s="195"/>
      <c r="G42" s="195"/>
      <c r="H42" s="49">
        <f>H14-H41</f>
        <v>-135186.8700000001</v>
      </c>
      <c r="I42" s="43"/>
      <c r="J42" s="70">
        <f>J14-J41</f>
        <v>-135186.8700000001</v>
      </c>
    </row>
    <row r="44" spans="2:5" ht="15.75">
      <c r="B44" s="24" t="s">
        <v>83</v>
      </c>
      <c r="C44" s="24"/>
      <c r="D44" s="24"/>
      <c r="E44" s="19"/>
    </row>
    <row r="45" spans="2:4" ht="15.75">
      <c r="B45" s="24"/>
      <c r="C45" s="24"/>
      <c r="D45" s="24"/>
    </row>
    <row r="46" spans="2:4" ht="15.75">
      <c r="B46" s="50" t="s">
        <v>152</v>
      </c>
      <c r="C46" s="50"/>
      <c r="D46" s="25"/>
    </row>
    <row r="47" spans="2:4" ht="15.75">
      <c r="B47" s="142" t="s">
        <v>61</v>
      </c>
      <c r="C47" s="142"/>
      <c r="D47" s="142"/>
    </row>
  </sheetData>
  <mergeCells count="36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8:D38"/>
    <mergeCell ref="B39:F39"/>
    <mergeCell ref="B40:D40"/>
    <mergeCell ref="B41:F41"/>
    <mergeCell ref="B42:G42"/>
    <mergeCell ref="B47:D47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"/>
    </sheetView>
  </sheetViews>
  <sheetFormatPr defaultColWidth="9.00390625" defaultRowHeight="15.75"/>
  <cols>
    <col min="1" max="1" width="13.625" style="0" customWidth="1"/>
    <col min="2" max="2" width="14.375" style="0" customWidth="1"/>
    <col min="3" max="3" width="11.125" style="0" customWidth="1"/>
    <col min="4" max="4" width="10.00390625" style="0" customWidth="1"/>
    <col min="5" max="5" width="11.125" style="0" customWidth="1"/>
    <col min="6" max="6" width="12.125" style="0" customWidth="1"/>
    <col min="7" max="7" width="9.75390625" style="0" customWidth="1"/>
    <col min="8" max="8" width="11.625" style="0" customWidth="1"/>
    <col min="9" max="9" width="11.50390625" style="0" customWidth="1"/>
    <col min="11" max="11" width="9.50390625" style="0" customWidth="1"/>
    <col min="12" max="12" width="11.25390625" style="0" customWidth="1"/>
    <col min="13" max="13" width="11.875" style="0" customWidth="1"/>
    <col min="14" max="14" width="10.375" style="0" customWidth="1"/>
    <col min="15" max="15" width="11.50390625" style="0" customWidth="1"/>
    <col min="16" max="16" width="11.00390625" style="0" bestFit="1" customWidth="1"/>
    <col min="17" max="18" width="11.50390625" style="0" customWidth="1"/>
    <col min="19" max="19" width="12.00390625" style="0" bestFit="1" customWidth="1"/>
  </cols>
  <sheetData>
    <row r="1" spans="1:19" ht="68.25" customHeight="1">
      <c r="A1" s="215" t="s">
        <v>158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 ht="15.75" customHeight="1">
      <c r="A2" s="213" t="s">
        <v>143</v>
      </c>
      <c r="B2" s="212" t="s">
        <v>62</v>
      </c>
      <c r="C2" s="212" t="s">
        <v>84</v>
      </c>
      <c r="D2" s="212"/>
      <c r="E2" s="212"/>
      <c r="F2" s="212"/>
      <c r="G2" s="212"/>
      <c r="H2" s="212"/>
      <c r="I2" s="212"/>
      <c r="J2" s="219" t="s">
        <v>85</v>
      </c>
      <c r="K2" s="219"/>
      <c r="L2" s="219"/>
      <c r="M2" s="209" t="s">
        <v>86</v>
      </c>
      <c r="N2" s="212" t="s">
        <v>63</v>
      </c>
      <c r="O2" s="212"/>
      <c r="P2" s="212"/>
      <c r="Q2" s="212"/>
      <c r="R2" s="212"/>
      <c r="S2" s="214" t="s">
        <v>103</v>
      </c>
    </row>
    <row r="3" spans="1:19" ht="15.75">
      <c r="A3" s="212"/>
      <c r="B3" s="212"/>
      <c r="C3" s="216" t="s">
        <v>64</v>
      </c>
      <c r="D3" s="217"/>
      <c r="E3" s="218"/>
      <c r="F3" s="216" t="s">
        <v>65</v>
      </c>
      <c r="G3" s="217"/>
      <c r="H3" s="218"/>
      <c r="I3" s="213" t="s">
        <v>66</v>
      </c>
      <c r="J3" s="207" t="s">
        <v>87</v>
      </c>
      <c r="K3" s="220" t="s">
        <v>88</v>
      </c>
      <c r="L3" s="207" t="s">
        <v>89</v>
      </c>
      <c r="M3" s="210"/>
      <c r="N3" s="213" t="s">
        <v>90</v>
      </c>
      <c r="O3" s="212" t="s">
        <v>67</v>
      </c>
      <c r="P3" s="212" t="s">
        <v>68</v>
      </c>
      <c r="Q3" s="212" t="s">
        <v>69</v>
      </c>
      <c r="R3" s="212" t="s">
        <v>70</v>
      </c>
      <c r="S3" s="214"/>
    </row>
    <row r="4" spans="1:19" ht="47.25" customHeight="1">
      <c r="A4" s="212"/>
      <c r="B4" s="212"/>
      <c r="C4" s="77" t="s">
        <v>71</v>
      </c>
      <c r="D4" s="78" t="s">
        <v>69</v>
      </c>
      <c r="E4" s="78" t="s">
        <v>70</v>
      </c>
      <c r="F4" s="77" t="s">
        <v>71</v>
      </c>
      <c r="G4" s="78" t="s">
        <v>69</v>
      </c>
      <c r="H4" s="78" t="s">
        <v>70</v>
      </c>
      <c r="I4" s="213"/>
      <c r="J4" s="208"/>
      <c r="K4" s="221"/>
      <c r="L4" s="208"/>
      <c r="M4" s="211"/>
      <c r="N4" s="212"/>
      <c r="O4" s="212"/>
      <c r="P4" s="212"/>
      <c r="Q4" s="212"/>
      <c r="R4" s="212"/>
      <c r="S4" s="214"/>
    </row>
    <row r="5" spans="1:19" ht="28.5">
      <c r="A5" s="78">
        <v>1</v>
      </c>
      <c r="B5" s="78">
        <v>2</v>
      </c>
      <c r="C5" s="77">
        <v>3</v>
      </c>
      <c r="D5" s="78">
        <v>4</v>
      </c>
      <c r="E5" s="78" t="s">
        <v>91</v>
      </c>
      <c r="F5" s="77">
        <v>6</v>
      </c>
      <c r="G5" s="78">
        <v>7</v>
      </c>
      <c r="H5" s="78" t="s">
        <v>92</v>
      </c>
      <c r="I5" s="77" t="s">
        <v>93</v>
      </c>
      <c r="J5" s="78">
        <v>10</v>
      </c>
      <c r="K5" s="78">
        <v>11</v>
      </c>
      <c r="L5" s="77">
        <v>12</v>
      </c>
      <c r="M5" s="77" t="s">
        <v>94</v>
      </c>
      <c r="N5" s="78">
        <v>14</v>
      </c>
      <c r="O5" s="77">
        <v>15</v>
      </c>
      <c r="P5" s="78">
        <v>16</v>
      </c>
      <c r="Q5" s="78">
        <v>17</v>
      </c>
      <c r="R5" s="77" t="s">
        <v>95</v>
      </c>
      <c r="S5" s="79" t="s">
        <v>96</v>
      </c>
    </row>
    <row r="6" spans="1:19" ht="15.75">
      <c r="A6" s="80">
        <v>-1394574.19</v>
      </c>
      <c r="B6" s="81" t="s">
        <v>145</v>
      </c>
      <c r="C6" s="82">
        <v>401960.49</v>
      </c>
      <c r="D6" s="82">
        <v>20072.8</v>
      </c>
      <c r="E6" s="82">
        <f>SUM(C6:D6)</f>
        <v>422033.29</v>
      </c>
      <c r="F6" s="82">
        <v>421331.62</v>
      </c>
      <c r="G6" s="82">
        <v>20494.86</v>
      </c>
      <c r="H6" s="82">
        <f>SUM(F6:G6)</f>
        <v>441826.48</v>
      </c>
      <c r="I6" s="82">
        <f>E6-H6</f>
        <v>-19793.190000000002</v>
      </c>
      <c r="J6" s="82">
        <v>0</v>
      </c>
      <c r="K6" s="82">
        <v>0</v>
      </c>
      <c r="L6" s="82">
        <v>1347928</v>
      </c>
      <c r="M6" s="82">
        <f aca="true" t="shared" si="0" ref="M6:M12">H6+J6+K6+L6</f>
        <v>1789754.48</v>
      </c>
      <c r="N6" s="82">
        <f>'отчет 2012(08-12)'!J29</f>
        <v>43131.55</v>
      </c>
      <c r="O6" s="82">
        <f>'отчет 2012(08-12)'!J34-'отчет 2012(08-12)'!J29</f>
        <v>313341.80000000005</v>
      </c>
      <c r="P6" s="82">
        <f>'отчет 2012(08-12)'!J38</f>
        <v>146447</v>
      </c>
      <c r="Q6" s="82">
        <f>'отчет 2012(08-12)'!J40</f>
        <v>1422021</v>
      </c>
      <c r="R6" s="82">
        <f aca="true" t="shared" si="1" ref="R6:R12">SUM(N6:Q6)</f>
        <v>1924941.35</v>
      </c>
      <c r="S6" s="82">
        <f aca="true" t="shared" si="2" ref="S6:S11">M6-R6</f>
        <v>-135186.8700000001</v>
      </c>
    </row>
    <row r="7" spans="1:19" ht="15.75">
      <c r="A7" s="80"/>
      <c r="B7" s="81"/>
      <c r="C7" s="82"/>
      <c r="D7" s="82"/>
      <c r="E7" s="82">
        <f>SUM(C7:D7)</f>
        <v>0</v>
      </c>
      <c r="F7" s="82"/>
      <c r="G7" s="82"/>
      <c r="H7" s="82">
        <f>SUM(F7:G7)</f>
        <v>0</v>
      </c>
      <c r="I7" s="82">
        <f>E7-H7</f>
        <v>0</v>
      </c>
      <c r="J7" s="82"/>
      <c r="K7" s="82"/>
      <c r="L7" s="82"/>
      <c r="M7" s="82">
        <f t="shared" si="0"/>
        <v>0</v>
      </c>
      <c r="N7" s="82"/>
      <c r="O7" s="82"/>
      <c r="P7" s="82"/>
      <c r="Q7" s="82"/>
      <c r="R7" s="82">
        <f t="shared" si="1"/>
        <v>0</v>
      </c>
      <c r="S7" s="82">
        <f t="shared" si="2"/>
        <v>0</v>
      </c>
    </row>
    <row r="8" spans="1:19" ht="15.75">
      <c r="A8" s="80"/>
      <c r="B8" s="81"/>
      <c r="C8" s="82"/>
      <c r="D8" s="82"/>
      <c r="E8" s="82">
        <f>SUM(C8:D8)</f>
        <v>0</v>
      </c>
      <c r="F8" s="82"/>
      <c r="G8" s="82"/>
      <c r="H8" s="82">
        <f>SUM(F8:G8)</f>
        <v>0</v>
      </c>
      <c r="I8" s="82">
        <f>E8-H8</f>
        <v>0</v>
      </c>
      <c r="J8" s="82"/>
      <c r="K8" s="82"/>
      <c r="L8" s="82"/>
      <c r="M8" s="82">
        <f t="shared" si="0"/>
        <v>0</v>
      </c>
      <c r="N8" s="82"/>
      <c r="O8" s="82"/>
      <c r="P8" s="82"/>
      <c r="Q8" s="82"/>
      <c r="R8" s="82">
        <f t="shared" si="1"/>
        <v>0</v>
      </c>
      <c r="S8" s="82">
        <f t="shared" si="2"/>
        <v>0</v>
      </c>
    </row>
    <row r="9" spans="1:19" ht="15.75">
      <c r="A9" s="80"/>
      <c r="B9" s="81"/>
      <c r="C9" s="80"/>
      <c r="D9" s="80"/>
      <c r="E9" s="82">
        <f>SUM(C9:D9)</f>
        <v>0</v>
      </c>
      <c r="F9" s="80"/>
      <c r="G9" s="80"/>
      <c r="H9" s="82">
        <f>SUM(F9:G9)</f>
        <v>0</v>
      </c>
      <c r="I9" s="82">
        <f>E9-H9</f>
        <v>0</v>
      </c>
      <c r="J9" s="80"/>
      <c r="K9" s="80"/>
      <c r="L9" s="80"/>
      <c r="M9" s="82">
        <f t="shared" si="0"/>
        <v>0</v>
      </c>
      <c r="N9" s="80"/>
      <c r="O9" s="80"/>
      <c r="P9" s="80"/>
      <c r="Q9" s="82"/>
      <c r="R9" s="82">
        <f t="shared" si="1"/>
        <v>0</v>
      </c>
      <c r="S9" s="82">
        <f t="shared" si="2"/>
        <v>0</v>
      </c>
    </row>
    <row r="10" spans="1:19" ht="15.75">
      <c r="A10" s="80"/>
      <c r="B10" s="81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2">
        <f t="shared" si="0"/>
        <v>0</v>
      </c>
      <c r="N10" s="80"/>
      <c r="O10" s="80"/>
      <c r="P10" s="83"/>
      <c r="Q10" s="82"/>
      <c r="R10" s="82">
        <f t="shared" si="1"/>
        <v>0</v>
      </c>
      <c r="S10" s="82">
        <f t="shared" si="2"/>
        <v>0</v>
      </c>
    </row>
    <row r="11" spans="1:19" ht="15.75">
      <c r="A11" s="80"/>
      <c r="B11" s="81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2">
        <f t="shared" si="0"/>
        <v>0</v>
      </c>
      <c r="N11" s="80"/>
      <c r="O11" s="80"/>
      <c r="P11" s="83"/>
      <c r="Q11" s="82"/>
      <c r="R11" s="82">
        <f t="shared" si="1"/>
        <v>0</v>
      </c>
      <c r="S11" s="82">
        <f t="shared" si="2"/>
        <v>0</v>
      </c>
    </row>
    <row r="12" spans="1:19" ht="15.75">
      <c r="A12" s="83"/>
      <c r="B12" s="81" t="s">
        <v>98</v>
      </c>
      <c r="C12" s="84">
        <f>SUM(C6:C11)</f>
        <v>401960.49</v>
      </c>
      <c r="D12" s="84">
        <f>SUM(D6:D11)</f>
        <v>20072.8</v>
      </c>
      <c r="E12" s="84">
        <f>SUM(C12:D12)</f>
        <v>422033.29</v>
      </c>
      <c r="F12" s="84">
        <f>SUM(F6:F11)</f>
        <v>421331.62</v>
      </c>
      <c r="G12" s="84">
        <f>SUM(G6:G11)</f>
        <v>20494.86</v>
      </c>
      <c r="H12" s="84">
        <f>SUM(F12:G12)</f>
        <v>441826.48</v>
      </c>
      <c r="I12" s="84">
        <f>E12-H12</f>
        <v>-19793.190000000002</v>
      </c>
      <c r="J12" s="84">
        <f>SUM(J6:J11)</f>
        <v>0</v>
      </c>
      <c r="K12" s="84">
        <f>SUM(K6:K11)</f>
        <v>0</v>
      </c>
      <c r="L12" s="84">
        <f>SUM(L6:L11)</f>
        <v>1347928</v>
      </c>
      <c r="M12" s="84">
        <f t="shared" si="0"/>
        <v>1789754.48</v>
      </c>
      <c r="N12" s="84">
        <f>SUM(N6:N11)</f>
        <v>43131.55</v>
      </c>
      <c r="O12" s="84">
        <f>SUM(O6:O11)</f>
        <v>313341.80000000005</v>
      </c>
      <c r="P12" s="84">
        <f>SUM(P6:P11)</f>
        <v>146447</v>
      </c>
      <c r="Q12" s="84">
        <f>SUM(Q6:Q11)</f>
        <v>1422021</v>
      </c>
      <c r="R12" s="84">
        <f t="shared" si="1"/>
        <v>1924941.35</v>
      </c>
      <c r="S12" s="84">
        <f>SUM(S6:S11)+A6</f>
        <v>-1529761.06</v>
      </c>
    </row>
    <row r="14" spans="2:9" ht="18.75">
      <c r="B14" s="206" t="s">
        <v>159</v>
      </c>
      <c r="C14" s="206"/>
      <c r="D14" s="206"/>
      <c r="E14" s="206"/>
      <c r="F14" s="206" t="s">
        <v>160</v>
      </c>
      <c r="G14" s="206"/>
      <c r="H14" s="206"/>
      <c r="I14" s="206"/>
    </row>
    <row r="15" spans="2:9" ht="18.75">
      <c r="B15" s="129"/>
      <c r="C15" s="129"/>
      <c r="D15" s="129"/>
      <c r="E15" s="129"/>
      <c r="F15" s="129"/>
      <c r="G15" s="129"/>
      <c r="H15" s="129"/>
      <c r="I15" s="129"/>
    </row>
    <row r="16" spans="2:9" ht="18.75">
      <c r="B16" s="130" t="s">
        <v>161</v>
      </c>
      <c r="C16" s="131"/>
      <c r="D16" s="131"/>
      <c r="E16" s="131"/>
      <c r="F16" s="206" t="s">
        <v>162</v>
      </c>
      <c r="G16" s="206"/>
      <c r="H16" s="206"/>
      <c r="I16" s="131"/>
    </row>
  </sheetData>
  <mergeCells count="22">
    <mergeCell ref="A1:S1"/>
    <mergeCell ref="A2:A4"/>
    <mergeCell ref="B2:B4"/>
    <mergeCell ref="C2:I2"/>
    <mergeCell ref="C3:E3"/>
    <mergeCell ref="F3:H3"/>
    <mergeCell ref="I3:I4"/>
    <mergeCell ref="J3:J4"/>
    <mergeCell ref="J2:L2"/>
    <mergeCell ref="K3:K4"/>
    <mergeCell ref="M2:M4"/>
    <mergeCell ref="N2:R2"/>
    <mergeCell ref="N3:N4"/>
    <mergeCell ref="S2:S4"/>
    <mergeCell ref="O3:O4"/>
    <mergeCell ref="P3:P4"/>
    <mergeCell ref="Q3:Q4"/>
    <mergeCell ref="R3:R4"/>
    <mergeCell ref="B14:E14"/>
    <mergeCell ref="F14:I14"/>
    <mergeCell ref="F16:H16"/>
    <mergeCell ref="L3:L4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2013-03-29T04:46:57Z</cp:lastPrinted>
  <dcterms:created xsi:type="dcterms:W3CDTF">2009-08-26T03:25:10Z</dcterms:created>
  <dcterms:modified xsi:type="dcterms:W3CDTF">2013-05-08T03:39:50Z</dcterms:modified>
  <cp:category/>
  <cp:version/>
  <cp:contentType/>
  <cp:contentStatus/>
</cp:coreProperties>
</file>